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<sst xmlns="http://schemas.openxmlformats.org/spreadsheetml/2006/main" count="32" uniqueCount="25">
  <si>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</si>
  <si>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</si>
  <si>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</si>
  <si>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</si>
  <si>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</si>
  <si>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</si>
  <si>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</si>
  <si>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</si>
  <si>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</si>
  <si>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</si>
  <si>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</si>
  <si>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</si>
  <si>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</si>
  <si>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</si>
  <si>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</si>
  <si>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</si>
  <si>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</si>
  <si>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 xml:space="preserve">Dados Meteorológicos Horários de Estação Automática </t>
  </si>
  <si>
    <t>Núcleo de Engenharia de Água e Solo</t>
  </si>
  <si>
    <t>(1) Planilha incompleta, com dados a partir das 21 h do dia 11</t>
  </si>
  <si>
    <t>(3) O NEAS não se responsabiliza pela qualidade dos dados</t>
  </si>
  <si>
    <t>(4) O uso dos dados e os produtos deles derivados são de inteira responsabildade do usuário</t>
  </si>
  <si>
    <t>(2) Dados brutos conforme download do site da estação (www.pessl.metos.at)</t>
  </si>
  <si>
    <t xml:space="preserve">       Observações:</t>
  </si>
  <si>
    <t>Janeiro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</si>
</sst>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22" fontId="40" fillId="0" borderId="12" xfId="0" applyNumberFormat="1" applyFont="1" applyBorder="1" applyAlignment="1">
      <alignment horizontal="center"/>
    </xf>
    <xf numFmtId="22" fontId="4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showGridLines="0" tabSelected="1" zoomScalePageLayoutView="0" workbookViewId="0" topLeftCell="A1">
      <selection activeCell="G1" sqref="G1"/>
    </sheetView>
  </sheetViews>
  <sheetFormatPr defaultColWidth="9.140625" defaultRowHeight="15"/>
  <cols>
    <col min="1" max="1" width="18.7109375" style="8" customWidth="1"/>
    <col min="2" max="4" width="12.7109375" style="8" customWidth="1"/>
    <col min="5" max="5" width="11.00390625" style="8" customWidth="1"/>
    <col min="6" max="8" width="6.7109375" style="8" customWidth="1"/>
    <col min="9" max="11" width="12.7109375" style="8" customWidth="1"/>
  </cols>
  <sheetData>
    <row r="1" spans="1:11" ht="21">
      <c r="A1" s="11" t="s">
        <v>17</v>
      </c>
      <c r="B1" s="12"/>
      <c r="C1" s="13"/>
      <c r="D1" s="13"/>
      <c r="E1" s="13"/>
      <c r="F1" s="13"/>
      <c r="G1" s="14" t="s">
        <v>24</v>
      </c>
      <c r="H1" s="13"/>
      <c r="I1" s="13"/>
      <c r="J1" s="13"/>
      <c r="K1" s="13"/>
    </row>
    <row r="2" spans="1:11" ht="21">
      <c r="A2" s="11" t="s">
        <v>14</v>
      </c>
      <c r="B2" s="12"/>
      <c r="C2" s="13"/>
      <c r="D2" s="13"/>
      <c r="E2" s="13"/>
      <c r="F2" s="13"/>
      <c r="G2" s="14" t="s">
        <v>18</v>
      </c>
      <c r="H2" s="13"/>
      <c r="I2" s="13"/>
      <c r="J2" s="13"/>
      <c r="K2" s="13"/>
    </row>
    <row r="3" spans="1:14" ht="15" customHeight="1">
      <c r="A3" s="22" t="s">
        <v>8</v>
      </c>
      <c r="B3" s="4" t="s">
        <v>9</v>
      </c>
      <c r="C3" s="1" t="s">
        <v>10</v>
      </c>
      <c r="D3" s="18" t="s">
        <v>11</v>
      </c>
      <c r="E3" s="19"/>
      <c r="F3" s="18" t="s">
        <v>13</v>
      </c>
      <c r="G3" s="24"/>
      <c r="H3" s="19"/>
      <c r="I3" s="1" t="s">
        <v>16</v>
      </c>
      <c r="J3" s="18" t="s">
        <v>15</v>
      </c>
      <c r="K3" s="19"/>
      <c r="M3" s="16" t="s">
        <v>23</v>
      </c>
      <c r="N3" s="15"/>
    </row>
    <row r="4" spans="1:13" ht="15">
      <c r="A4" s="23"/>
      <c r="B4" s="2" t="s">
        <v>0</v>
      </c>
      <c r="C4" s="2" t="s">
        <v>1</v>
      </c>
      <c r="D4" s="20" t="s">
        <v>12</v>
      </c>
      <c r="E4" s="21"/>
      <c r="F4" s="20" t="s">
        <v>2</v>
      </c>
      <c r="G4" s="25"/>
      <c r="H4" s="21"/>
      <c r="I4" s="2" t="s">
        <v>3</v>
      </c>
      <c r="J4" s="20" t="s">
        <v>2</v>
      </c>
      <c r="K4" s="21"/>
      <c r="M4" t="s">
        <v>19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s="17" t="s">
        <v>22</v>
      </c>
    </row>
    <row r="6" spans="1:13" ht="15">
      <c r="A6" s="6">
        <v>40189.875</v>
      </c>
      <c r="B6" s="9">
        <f aca="true" t="shared" si="0" ref="B6:C14">0/100000</f>
        <v>0</v>
      </c>
      <c r="C6" s="9">
        <f t="shared" si="0"/>
        <v>0</v>
      </c>
      <c r="D6" s="9">
        <f>125000/100000</f>
        <v>1.25</v>
      </c>
      <c r="E6" s="9">
        <f>230000/100000</f>
        <v>2.3</v>
      </c>
      <c r="F6" s="9">
        <f>2520000/100000</f>
        <v>25.2</v>
      </c>
      <c r="G6" s="9">
        <f>2492000/100000</f>
        <v>24.92</v>
      </c>
      <c r="H6" s="9">
        <f>2558000/100000</f>
        <v>25.58</v>
      </c>
      <c r="I6" s="9">
        <f>8300000/100000</f>
        <v>83</v>
      </c>
      <c r="J6" s="9">
        <f>2195000/100000</f>
        <v>21.95</v>
      </c>
      <c r="K6" s="9">
        <f>2180000/100000</f>
        <v>21.8</v>
      </c>
      <c r="M6" t="s">
        <v>20</v>
      </c>
    </row>
    <row r="7" spans="1:13" ht="15">
      <c r="A7" s="6">
        <v>40189.916666666664</v>
      </c>
      <c r="B7" s="9">
        <f t="shared" si="0"/>
        <v>0</v>
      </c>
      <c r="C7" s="9">
        <f t="shared" si="0"/>
        <v>0</v>
      </c>
      <c r="D7" s="9">
        <f>60000/100000</f>
        <v>0.6</v>
      </c>
      <c r="E7" s="9">
        <f>130000/100000</f>
        <v>1.3</v>
      </c>
      <c r="F7" s="9">
        <f>2445000/100000</f>
        <v>24.45</v>
      </c>
      <c r="G7" s="9">
        <f>2406000/100000</f>
        <v>24.06</v>
      </c>
      <c r="H7" s="9">
        <f>2492000/100000</f>
        <v>24.92</v>
      </c>
      <c r="I7" s="9">
        <f>8700000/100000</f>
        <v>87</v>
      </c>
      <c r="J7" s="9">
        <f>2200000/100000</f>
        <v>22</v>
      </c>
      <c r="K7" s="9">
        <f>2190000/100000</f>
        <v>21.9</v>
      </c>
      <c r="M7" t="s">
        <v>21</v>
      </c>
    </row>
    <row r="8" spans="1:11" ht="15">
      <c r="A8" s="6">
        <v>40189.958333333336</v>
      </c>
      <c r="B8" s="9">
        <f t="shared" si="0"/>
        <v>0</v>
      </c>
      <c r="C8" s="9">
        <f t="shared" si="0"/>
        <v>0</v>
      </c>
      <c r="D8" s="9">
        <f>10000/100000</f>
        <v>0.1</v>
      </c>
      <c r="E8" s="9">
        <f>40000/100000</f>
        <v>0.4</v>
      </c>
      <c r="F8" s="9">
        <f>2386000/100000</f>
        <v>23.86</v>
      </c>
      <c r="G8" s="9">
        <f>2371000/100000</f>
        <v>23.71</v>
      </c>
      <c r="H8" s="9">
        <f>2410000/100000</f>
        <v>24.1</v>
      </c>
      <c r="I8" s="9">
        <f>9000000/100000</f>
        <v>90</v>
      </c>
      <c r="J8" s="9">
        <f>2200000/100000</f>
        <v>22</v>
      </c>
      <c r="K8" s="9">
        <f>2190000/100000</f>
        <v>21.9</v>
      </c>
    </row>
    <row r="9" spans="1:11" ht="15">
      <c r="A9" s="6">
        <v>40190</v>
      </c>
      <c r="B9" s="9">
        <f t="shared" si="0"/>
        <v>0</v>
      </c>
      <c r="C9" s="9">
        <f t="shared" si="0"/>
        <v>0</v>
      </c>
      <c r="D9" s="9">
        <f>0/100000</f>
        <v>0</v>
      </c>
      <c r="E9" s="9">
        <f>10000/100000</f>
        <v>0.1</v>
      </c>
      <c r="F9" s="9">
        <f>2352000/100000</f>
        <v>23.52</v>
      </c>
      <c r="G9" s="9">
        <f>2328000/100000</f>
        <v>23.28</v>
      </c>
      <c r="H9" s="9">
        <f>2378000/100000</f>
        <v>23.78</v>
      </c>
      <c r="I9" s="9">
        <f>9200000/100000</f>
        <v>92</v>
      </c>
      <c r="J9" s="9">
        <f>2190000/100000</f>
        <v>21.9</v>
      </c>
      <c r="K9" s="9">
        <f>2180000/100000</f>
        <v>21.8</v>
      </c>
    </row>
    <row r="10" spans="1:11" ht="15">
      <c r="A10" s="6">
        <v>40190.041666666664</v>
      </c>
      <c r="B10" s="9">
        <f t="shared" si="0"/>
        <v>0</v>
      </c>
      <c r="C10" s="9">
        <f t="shared" si="0"/>
        <v>0</v>
      </c>
      <c r="D10" s="9">
        <f>0/100000</f>
        <v>0</v>
      </c>
      <c r="E10" s="9">
        <f>0/100000</f>
        <v>0</v>
      </c>
      <c r="F10" s="9">
        <f>2311000/100000</f>
        <v>23.11</v>
      </c>
      <c r="G10" s="9">
        <f>2286000/100000</f>
        <v>22.86</v>
      </c>
      <c r="H10" s="9">
        <f>2335000/100000</f>
        <v>23.35</v>
      </c>
      <c r="I10" s="9">
        <f>9400000/100000</f>
        <v>94</v>
      </c>
      <c r="J10" s="9">
        <f>2190000/100000</f>
        <v>21.9</v>
      </c>
      <c r="K10" s="9">
        <f>2180000/100000</f>
        <v>21.8</v>
      </c>
    </row>
    <row r="11" spans="1:11" ht="15">
      <c r="A11" s="6">
        <v>40190.083333333336</v>
      </c>
      <c r="B11" s="9">
        <f t="shared" si="0"/>
        <v>0</v>
      </c>
      <c r="C11" s="9">
        <f t="shared" si="0"/>
        <v>0</v>
      </c>
      <c r="D11" s="9">
        <f>0/100000</f>
        <v>0</v>
      </c>
      <c r="E11" s="9">
        <f>10000/100000</f>
        <v>0.1</v>
      </c>
      <c r="F11" s="9">
        <f>2275000/100000</f>
        <v>22.75</v>
      </c>
      <c r="G11" s="9">
        <f>2265000/100000</f>
        <v>22.65</v>
      </c>
      <c r="H11" s="9">
        <f>2290000/100000</f>
        <v>22.9</v>
      </c>
      <c r="I11" s="9">
        <f>9600000/100000</f>
        <v>96</v>
      </c>
      <c r="J11" s="9">
        <f>2190000/100000</f>
        <v>21.9</v>
      </c>
      <c r="K11" s="9">
        <f>2190000/100000</f>
        <v>21.9</v>
      </c>
    </row>
    <row r="12" spans="1:11" ht="15">
      <c r="A12" s="6">
        <v>40190.125</v>
      </c>
      <c r="B12" s="9">
        <f t="shared" si="0"/>
        <v>0</v>
      </c>
      <c r="C12" s="9">
        <f t="shared" si="0"/>
        <v>0</v>
      </c>
      <c r="D12" s="9">
        <f>5000/100000</f>
        <v>0.05</v>
      </c>
      <c r="E12" s="9">
        <f>60000/100000</f>
        <v>0.6</v>
      </c>
      <c r="F12" s="9">
        <f>2268000/100000</f>
        <v>22.68</v>
      </c>
      <c r="G12" s="9">
        <f>2252000/100000</f>
        <v>22.52</v>
      </c>
      <c r="H12" s="9">
        <f>2283000/100000</f>
        <v>22.83</v>
      </c>
      <c r="I12" s="9">
        <f>9600000/100000</f>
        <v>96</v>
      </c>
      <c r="J12" s="9">
        <f>2190000/100000</f>
        <v>21.9</v>
      </c>
      <c r="K12" s="9">
        <f>2180000/100000</f>
        <v>21.8</v>
      </c>
    </row>
    <row r="13" spans="1:11" ht="15">
      <c r="A13" s="6">
        <v>40190.166666666664</v>
      </c>
      <c r="B13" s="9">
        <f t="shared" si="0"/>
        <v>0</v>
      </c>
      <c r="C13" s="9">
        <f t="shared" si="0"/>
        <v>0</v>
      </c>
      <c r="D13" s="9">
        <f>50000/100000</f>
        <v>0.5</v>
      </c>
      <c r="E13" s="9">
        <f>130000/100000</f>
        <v>1.3</v>
      </c>
      <c r="F13" s="9">
        <f>2243000/100000</f>
        <v>22.43</v>
      </c>
      <c r="G13" s="9">
        <f>2234000/100000</f>
        <v>22.34</v>
      </c>
      <c r="H13" s="9">
        <f>2251000/100000</f>
        <v>22.51</v>
      </c>
      <c r="I13" s="9">
        <f>9700000/100000</f>
        <v>97</v>
      </c>
      <c r="J13" s="9">
        <f>2180000/100000</f>
        <v>21.8</v>
      </c>
      <c r="K13" s="9">
        <f>2180000/100000</f>
        <v>21.8</v>
      </c>
    </row>
    <row r="14" spans="1:11" ht="15">
      <c r="A14" s="6">
        <v>40190.208333333336</v>
      </c>
      <c r="B14" s="9">
        <f t="shared" si="0"/>
        <v>0</v>
      </c>
      <c r="C14" s="9">
        <f t="shared" si="0"/>
        <v>0</v>
      </c>
      <c r="D14" s="9">
        <f>5000/100000</f>
        <v>0.05</v>
      </c>
      <c r="E14" s="9">
        <f>70000/100000</f>
        <v>0.7</v>
      </c>
      <c r="F14" s="9">
        <f>2228000/100000</f>
        <v>22.28</v>
      </c>
      <c r="G14" s="9">
        <f>2220000/100000</f>
        <v>22.2</v>
      </c>
      <c r="H14" s="9">
        <f>2240000/100000</f>
        <v>22.4</v>
      </c>
      <c r="I14" s="9">
        <f>9800000/100000</f>
        <v>98</v>
      </c>
      <c r="J14" s="9">
        <f>2175000/100000</f>
        <v>21.75</v>
      </c>
      <c r="K14" s="9">
        <f>2170000/100000</f>
        <v>21.7</v>
      </c>
    </row>
    <row r="15" spans="1:11" ht="15">
      <c r="A15" s="6">
        <v>40190.25</v>
      </c>
      <c r="B15" s="9">
        <f>4800000/100000</f>
        <v>48</v>
      </c>
      <c r="C15" s="9">
        <f>0/100000</f>
        <v>0</v>
      </c>
      <c r="D15" s="9">
        <f>0/100000</f>
        <v>0</v>
      </c>
      <c r="E15" s="9">
        <f>30000/100000</f>
        <v>0.3</v>
      </c>
      <c r="F15" s="9">
        <f>2279000/100000</f>
        <v>22.79</v>
      </c>
      <c r="G15" s="9">
        <f>2250000/100000</f>
        <v>22.5</v>
      </c>
      <c r="H15" s="9">
        <f>2328000/100000</f>
        <v>23.28</v>
      </c>
      <c r="I15" s="9">
        <f>9800000/100000</f>
        <v>98</v>
      </c>
      <c r="J15" s="9">
        <f>2225000/100000</f>
        <v>22.25</v>
      </c>
      <c r="K15" s="9">
        <f>2200000/100000</f>
        <v>22</v>
      </c>
    </row>
    <row r="16" spans="1:11" ht="15">
      <c r="A16" s="6">
        <v>40190.291666666664</v>
      </c>
      <c r="B16" s="9">
        <f>6400000/100000</f>
        <v>64</v>
      </c>
      <c r="C16" s="9">
        <f>0/100000</f>
        <v>0</v>
      </c>
      <c r="D16" s="9">
        <f>20000/100000</f>
        <v>0.2</v>
      </c>
      <c r="E16" s="9">
        <f>90000/100000</f>
        <v>0.9</v>
      </c>
      <c r="F16" s="9">
        <f>2433000/100000</f>
        <v>24.33</v>
      </c>
      <c r="G16" s="9">
        <f>2346000/100000</f>
        <v>23.46</v>
      </c>
      <c r="H16" s="9">
        <f>2513000/100000</f>
        <v>25.13</v>
      </c>
      <c r="I16" s="9">
        <f>9500000/100000</f>
        <v>95</v>
      </c>
      <c r="J16" s="9">
        <f>2335000/100000</f>
        <v>23.35</v>
      </c>
      <c r="K16" s="9">
        <f>2290000/100000</f>
        <v>22.9</v>
      </c>
    </row>
    <row r="17" spans="1:11" ht="15">
      <c r="A17" s="6">
        <v>40190.333333333336</v>
      </c>
      <c r="B17" s="9">
        <f>12300000/100000</f>
        <v>123</v>
      </c>
      <c r="C17" s="9">
        <f>0/100000</f>
        <v>0</v>
      </c>
      <c r="D17" s="9">
        <f>195000/100000</f>
        <v>1.95</v>
      </c>
      <c r="E17" s="9">
        <f>270000/100000</f>
        <v>2.7</v>
      </c>
      <c r="F17" s="9">
        <f>2647000/100000</f>
        <v>26.47</v>
      </c>
      <c r="G17" s="9">
        <f>2552000/100000</f>
        <v>25.52</v>
      </c>
      <c r="H17" s="9">
        <f>2744000/100000</f>
        <v>27.44</v>
      </c>
      <c r="I17" s="9">
        <f>7800000/100000</f>
        <v>78</v>
      </c>
      <c r="J17" s="9">
        <f>2220000/100000</f>
        <v>22.2</v>
      </c>
      <c r="K17" s="9">
        <f>2170000/100000</f>
        <v>21.7</v>
      </c>
    </row>
    <row r="18" spans="1:11" ht="15">
      <c r="A18" s="6">
        <v>40190.375</v>
      </c>
      <c r="B18" s="9">
        <f>18800000/100000</f>
        <v>188</v>
      </c>
      <c r="C18" s="9">
        <f>0/100000</f>
        <v>0</v>
      </c>
      <c r="D18" s="9">
        <f>205000/100000</f>
        <v>2.05</v>
      </c>
      <c r="E18" s="9">
        <f>250000/100000</f>
        <v>2.5</v>
      </c>
      <c r="F18" s="9">
        <f>2816000/100000</f>
        <v>28.16</v>
      </c>
      <c r="G18" s="9">
        <f>2751000/100000</f>
        <v>27.51</v>
      </c>
      <c r="H18" s="9">
        <f>2885000/100000</f>
        <v>28.85</v>
      </c>
      <c r="I18" s="9">
        <f>6800000/100000</f>
        <v>68</v>
      </c>
      <c r="J18" s="9">
        <f>2155000/100000</f>
        <v>21.55</v>
      </c>
      <c r="K18" s="9">
        <f>2130000/100000</f>
        <v>21.3</v>
      </c>
    </row>
    <row r="19" spans="1:11" ht="15">
      <c r="A19" s="6">
        <v>40190.416666666664</v>
      </c>
      <c r="B19" s="9">
        <f>15600000/100000</f>
        <v>156</v>
      </c>
      <c r="C19" s="9">
        <f>0/100000</f>
        <v>0</v>
      </c>
      <c r="D19" s="9">
        <f>150000/100000</f>
        <v>1.5</v>
      </c>
      <c r="E19" s="9">
        <f>270000/100000</f>
        <v>2.7</v>
      </c>
      <c r="F19" s="9">
        <f>2918000/100000</f>
        <v>29.18</v>
      </c>
      <c r="G19" s="9">
        <f>2845000/100000</f>
        <v>28.45</v>
      </c>
      <c r="H19" s="9">
        <f>2976000/100000</f>
        <v>29.76</v>
      </c>
      <c r="I19" s="9">
        <f>6200000/100000</f>
        <v>62</v>
      </c>
      <c r="J19" s="9">
        <f>2100000/100000</f>
        <v>21</v>
      </c>
      <c r="K19" s="9">
        <f>2050000/100000</f>
        <v>20.5</v>
      </c>
    </row>
    <row r="20" spans="1:11" ht="15">
      <c r="A20" s="6">
        <v>40190.458333333336</v>
      </c>
      <c r="B20" s="9">
        <f>20500000/100000</f>
        <v>205</v>
      </c>
      <c r="C20" s="9">
        <f>240000/100000</f>
        <v>2.4</v>
      </c>
      <c r="D20" s="9">
        <f>115000/100000</f>
        <v>1.15</v>
      </c>
      <c r="E20" s="9">
        <f>270000/100000</f>
        <v>2.7</v>
      </c>
      <c r="F20" s="9">
        <f>2791000/100000</f>
        <v>27.91</v>
      </c>
      <c r="G20" s="9">
        <f>2633000/100000</f>
        <v>26.33</v>
      </c>
      <c r="H20" s="9">
        <f>2955000/100000</f>
        <v>29.55</v>
      </c>
      <c r="I20" s="9">
        <f>7100000/100000</f>
        <v>71</v>
      </c>
      <c r="J20" s="9">
        <f>2195000/100000</f>
        <v>21.95</v>
      </c>
      <c r="K20" s="9">
        <f>2090000/100000</f>
        <v>20.9</v>
      </c>
    </row>
    <row r="21" spans="1:11" ht="15">
      <c r="A21" s="6">
        <v>40190.5</v>
      </c>
      <c r="B21" s="9">
        <f>29900000/100000</f>
        <v>299</v>
      </c>
      <c r="C21" s="9">
        <f aca="true" t="shared" si="1" ref="C21:C41">0/100000</f>
        <v>0</v>
      </c>
      <c r="D21" s="9">
        <f>145000/100000</f>
        <v>1.45</v>
      </c>
      <c r="E21" s="9">
        <f>240000/100000</f>
        <v>2.4</v>
      </c>
      <c r="F21" s="9">
        <f>3018000/100000</f>
        <v>30.18</v>
      </c>
      <c r="G21" s="9">
        <f>2871000/100000</f>
        <v>28.71</v>
      </c>
      <c r="H21" s="9">
        <f>3126000/100000</f>
        <v>31.26</v>
      </c>
      <c r="I21" s="9">
        <f>6100000/100000</f>
        <v>61</v>
      </c>
      <c r="J21" s="9">
        <f>2160000/100000</f>
        <v>21.6</v>
      </c>
      <c r="K21" s="9">
        <f>2040000/100000</f>
        <v>20.4</v>
      </c>
    </row>
    <row r="22" spans="1:11" ht="15">
      <c r="A22" s="6">
        <v>40190.541666666664</v>
      </c>
      <c r="B22" s="9">
        <f>24000000/100000</f>
        <v>240</v>
      </c>
      <c r="C22" s="9">
        <f t="shared" si="1"/>
        <v>0</v>
      </c>
      <c r="D22" s="9">
        <f>300000/100000</f>
        <v>3</v>
      </c>
      <c r="E22" s="9">
        <f>450000/100000</f>
        <v>4.5</v>
      </c>
      <c r="F22" s="9">
        <f>3154000/100000</f>
        <v>31.54</v>
      </c>
      <c r="G22" s="9">
        <f>3103000/100000</f>
        <v>31.03</v>
      </c>
      <c r="H22" s="9">
        <f>3219000/100000</f>
        <v>32.19</v>
      </c>
      <c r="I22" s="9">
        <f>5600000/100000</f>
        <v>56</v>
      </c>
      <c r="J22" s="9">
        <f>2150000/100000</f>
        <v>21.5</v>
      </c>
      <c r="K22" s="9">
        <f>2070000/100000</f>
        <v>20.7</v>
      </c>
    </row>
    <row r="23" spans="1:11" ht="15">
      <c r="A23" s="6">
        <v>40190.583333333336</v>
      </c>
      <c r="B23" s="9">
        <f>18200000/100000</f>
        <v>182</v>
      </c>
      <c r="C23" s="9">
        <f t="shared" si="1"/>
        <v>0</v>
      </c>
      <c r="D23" s="9">
        <f>375000/100000</f>
        <v>3.75</v>
      </c>
      <c r="E23" s="9">
        <f>500000/100000</f>
        <v>5</v>
      </c>
      <c r="F23" s="9">
        <f>3111000/100000</f>
        <v>31.11</v>
      </c>
      <c r="G23" s="9">
        <f>3028000/100000</f>
        <v>30.28</v>
      </c>
      <c r="H23" s="9">
        <f>3236000/100000</f>
        <v>32.36</v>
      </c>
      <c r="I23" s="9">
        <f>5800000/100000</f>
        <v>58</v>
      </c>
      <c r="J23" s="9">
        <f>2165000/100000</f>
        <v>21.65</v>
      </c>
      <c r="K23" s="9">
        <f>2140000/100000</f>
        <v>21.4</v>
      </c>
    </row>
    <row r="24" spans="1:11" ht="15">
      <c r="A24" s="6">
        <v>40190.625</v>
      </c>
      <c r="B24" s="9">
        <f>6000000/100000</f>
        <v>60</v>
      </c>
      <c r="C24" s="9">
        <f t="shared" si="1"/>
        <v>0</v>
      </c>
      <c r="D24" s="9">
        <f>355000/100000</f>
        <v>3.55</v>
      </c>
      <c r="E24" s="9">
        <f>470000/100000</f>
        <v>4.7</v>
      </c>
      <c r="F24" s="9">
        <f>2938000/100000</f>
        <v>29.38</v>
      </c>
      <c r="G24" s="9">
        <f>2883000/100000</f>
        <v>28.83</v>
      </c>
      <c r="H24" s="9">
        <f>3027000/100000</f>
        <v>30.27</v>
      </c>
      <c r="I24" s="9">
        <f>6500000/100000</f>
        <v>65</v>
      </c>
      <c r="J24" s="9">
        <f>2200000/100000</f>
        <v>22</v>
      </c>
      <c r="K24" s="9">
        <f>2170000/100000</f>
        <v>21.7</v>
      </c>
    </row>
    <row r="25" spans="1:11" ht="15">
      <c r="A25" s="6">
        <v>40190.666666666664</v>
      </c>
      <c r="B25" s="9">
        <f>16200000/100000</f>
        <v>162</v>
      </c>
      <c r="C25" s="9">
        <f t="shared" si="1"/>
        <v>0</v>
      </c>
      <c r="D25" s="9">
        <f>385000/100000</f>
        <v>3.85</v>
      </c>
      <c r="E25" s="9">
        <f>470000/100000</f>
        <v>4.7</v>
      </c>
      <c r="F25" s="9">
        <f>2991000/100000</f>
        <v>29.91</v>
      </c>
      <c r="G25" s="9">
        <f>2942000/100000</f>
        <v>29.42</v>
      </c>
      <c r="H25" s="9">
        <f>3048000/100000</f>
        <v>30.48</v>
      </c>
      <c r="I25" s="9">
        <f>6600000/100000</f>
        <v>66</v>
      </c>
      <c r="J25" s="9">
        <f>2270000/100000</f>
        <v>22.7</v>
      </c>
      <c r="K25" s="9">
        <f>2230000/100000</f>
        <v>22.3</v>
      </c>
    </row>
    <row r="26" spans="1:11" ht="15">
      <c r="A26" s="6">
        <v>40190.708333333336</v>
      </c>
      <c r="B26" s="9">
        <f>3500000/100000</f>
        <v>35</v>
      </c>
      <c r="C26" s="9">
        <f t="shared" si="1"/>
        <v>0</v>
      </c>
      <c r="D26" s="9">
        <f>350000/100000</f>
        <v>3.5</v>
      </c>
      <c r="E26" s="9">
        <f>440000/100000</f>
        <v>4.4</v>
      </c>
      <c r="F26" s="9">
        <f>2862000/100000</f>
        <v>28.62</v>
      </c>
      <c r="G26" s="9">
        <f>2792000/100000</f>
        <v>27.92</v>
      </c>
      <c r="H26" s="9">
        <f>2935000/100000</f>
        <v>29.35</v>
      </c>
      <c r="I26" s="9">
        <f>6700000/100000</f>
        <v>67</v>
      </c>
      <c r="J26" s="9">
        <f>2165000/100000</f>
        <v>21.65</v>
      </c>
      <c r="K26" s="9">
        <f>2140000/100000</f>
        <v>21.4</v>
      </c>
    </row>
    <row r="27" spans="1:11" ht="15">
      <c r="A27" s="6">
        <v>40190.75</v>
      </c>
      <c r="B27" s="9">
        <f aca="true" t="shared" si="2" ref="B27:B38">0/100000</f>
        <v>0</v>
      </c>
      <c r="C27" s="9">
        <f t="shared" si="1"/>
        <v>0</v>
      </c>
      <c r="D27" s="9">
        <f>315000/100000</f>
        <v>3.15</v>
      </c>
      <c r="E27" s="9">
        <f>380000/100000</f>
        <v>3.8</v>
      </c>
      <c r="F27" s="9">
        <f>2723000/100000</f>
        <v>27.23</v>
      </c>
      <c r="G27" s="9">
        <f>2671000/100000</f>
        <v>26.71</v>
      </c>
      <c r="H27" s="9">
        <f>2789000/100000</f>
        <v>27.89</v>
      </c>
      <c r="I27" s="9">
        <f>7300000/100000</f>
        <v>73</v>
      </c>
      <c r="J27" s="9">
        <f>2185000/100000</f>
        <v>21.85</v>
      </c>
      <c r="K27" s="9">
        <f>2160000/100000</f>
        <v>21.6</v>
      </c>
    </row>
    <row r="28" spans="1:11" ht="15">
      <c r="A28" s="6">
        <v>40190.791666666664</v>
      </c>
      <c r="B28" s="9">
        <f t="shared" si="2"/>
        <v>0</v>
      </c>
      <c r="C28" s="9">
        <f t="shared" si="1"/>
        <v>0</v>
      </c>
      <c r="D28" s="9">
        <f>255000/100000</f>
        <v>2.55</v>
      </c>
      <c r="E28" s="9">
        <f>300000/100000</f>
        <v>3</v>
      </c>
      <c r="F28" s="9">
        <f>2648000/100000</f>
        <v>26.48</v>
      </c>
      <c r="G28" s="9">
        <f>2622000/100000</f>
        <v>26.22</v>
      </c>
      <c r="H28" s="9">
        <f>2675000/100000</f>
        <v>26.75</v>
      </c>
      <c r="I28" s="9">
        <f>7800000/100000</f>
        <v>78</v>
      </c>
      <c r="J28" s="9">
        <f>2205000/100000</f>
        <v>22.05</v>
      </c>
      <c r="K28" s="9">
        <f>2180000/100000</f>
        <v>21.8</v>
      </c>
    </row>
    <row r="29" spans="1:11" ht="15">
      <c r="A29" s="6">
        <v>40190.833333333336</v>
      </c>
      <c r="B29" s="9">
        <f t="shared" si="2"/>
        <v>0</v>
      </c>
      <c r="C29" s="9">
        <f t="shared" si="1"/>
        <v>0</v>
      </c>
      <c r="D29" s="9">
        <f>215000/100000</f>
        <v>2.15</v>
      </c>
      <c r="E29" s="9">
        <f>290000/100000</f>
        <v>2.9</v>
      </c>
      <c r="F29" s="9">
        <f>2596000/100000</f>
        <v>25.96</v>
      </c>
      <c r="G29" s="9">
        <f>2570000/100000</f>
        <v>25.7</v>
      </c>
      <c r="H29" s="9">
        <f>2629000/100000</f>
        <v>26.29</v>
      </c>
      <c r="I29" s="9">
        <f>7900000/100000</f>
        <v>79</v>
      </c>
      <c r="J29" s="9">
        <f>2190000/100000</f>
        <v>21.9</v>
      </c>
      <c r="K29" s="9">
        <f>2180000/100000</f>
        <v>21.8</v>
      </c>
    </row>
    <row r="30" spans="1:11" ht="15">
      <c r="A30" s="6">
        <v>40190.875</v>
      </c>
      <c r="B30" s="9">
        <f t="shared" si="2"/>
        <v>0</v>
      </c>
      <c r="C30" s="9">
        <f t="shared" si="1"/>
        <v>0</v>
      </c>
      <c r="D30" s="9">
        <f>120000/100000</f>
        <v>1.2</v>
      </c>
      <c r="E30" s="9">
        <f>230000/100000</f>
        <v>2.3</v>
      </c>
      <c r="F30" s="9">
        <f>2559000/100000</f>
        <v>25.59</v>
      </c>
      <c r="G30" s="9">
        <f>2544000/100000</f>
        <v>25.44</v>
      </c>
      <c r="H30" s="9">
        <f>2583000/100000</f>
        <v>25.83</v>
      </c>
      <c r="I30" s="9">
        <f>8100000/100000</f>
        <v>81</v>
      </c>
      <c r="J30" s="9">
        <f>2180000/100000</f>
        <v>21.8</v>
      </c>
      <c r="K30" s="9">
        <f>2170000/100000</f>
        <v>21.7</v>
      </c>
    </row>
    <row r="31" spans="1:11" ht="15">
      <c r="A31" s="6">
        <v>40190.916666666664</v>
      </c>
      <c r="B31" s="9">
        <f t="shared" si="2"/>
        <v>0</v>
      </c>
      <c r="C31" s="9">
        <f t="shared" si="1"/>
        <v>0</v>
      </c>
      <c r="D31" s="9">
        <f>115000/100000</f>
        <v>1.15</v>
      </c>
      <c r="E31" s="9">
        <f>180000/100000</f>
        <v>1.8</v>
      </c>
      <c r="F31" s="9">
        <f>2521000/100000</f>
        <v>25.21</v>
      </c>
      <c r="G31" s="9">
        <f>2494000/100000</f>
        <v>24.94</v>
      </c>
      <c r="H31" s="9">
        <f>2548000/100000</f>
        <v>25.48</v>
      </c>
      <c r="I31" s="9">
        <f>8300000/100000</f>
        <v>83</v>
      </c>
      <c r="J31" s="9">
        <f>2195000/100000</f>
        <v>21.95</v>
      </c>
      <c r="K31" s="9">
        <f>2180000/100000</f>
        <v>21.8</v>
      </c>
    </row>
    <row r="32" spans="1:11" ht="15">
      <c r="A32" s="6">
        <v>40190.958333333336</v>
      </c>
      <c r="B32" s="9">
        <f t="shared" si="2"/>
        <v>0</v>
      </c>
      <c r="C32" s="9">
        <f t="shared" si="1"/>
        <v>0</v>
      </c>
      <c r="D32" s="9">
        <f>55000/100000</f>
        <v>0.55</v>
      </c>
      <c r="E32" s="9">
        <f>180000/100000</f>
        <v>1.8</v>
      </c>
      <c r="F32" s="9">
        <f>2467000/100000</f>
        <v>24.67</v>
      </c>
      <c r="G32" s="9">
        <f>2426000/100000</f>
        <v>24.26</v>
      </c>
      <c r="H32" s="9">
        <f>2503000/100000</f>
        <v>25.03</v>
      </c>
      <c r="I32" s="9">
        <f>8700000/100000</f>
        <v>87</v>
      </c>
      <c r="J32" s="9">
        <f>2215000/100000</f>
        <v>22.15</v>
      </c>
      <c r="K32" s="9">
        <f>2210000/100000</f>
        <v>22.1</v>
      </c>
    </row>
    <row r="33" spans="1:11" ht="15">
      <c r="A33" s="6">
        <v>40191</v>
      </c>
      <c r="B33" s="9">
        <f t="shared" si="2"/>
        <v>0</v>
      </c>
      <c r="C33" s="9">
        <f t="shared" si="1"/>
        <v>0</v>
      </c>
      <c r="D33" s="9">
        <f>120000/100000</f>
        <v>1.2</v>
      </c>
      <c r="E33" s="9">
        <f>200000/100000</f>
        <v>2</v>
      </c>
      <c r="F33" s="9">
        <f>2431000/100000</f>
        <v>24.31</v>
      </c>
      <c r="G33" s="9">
        <f>2422000/100000</f>
        <v>24.22</v>
      </c>
      <c r="H33" s="9">
        <f>2441000/100000</f>
        <v>24.41</v>
      </c>
      <c r="I33" s="9">
        <f>9000000/100000</f>
        <v>90</v>
      </c>
      <c r="J33" s="9">
        <f>2240000/100000</f>
        <v>22.4</v>
      </c>
      <c r="K33" s="9">
        <f>2230000/100000</f>
        <v>22.3</v>
      </c>
    </row>
    <row r="34" spans="1:11" ht="15">
      <c r="A34" s="6">
        <v>40191.041666666664</v>
      </c>
      <c r="B34" s="9">
        <f t="shared" si="2"/>
        <v>0</v>
      </c>
      <c r="C34" s="9">
        <f t="shared" si="1"/>
        <v>0</v>
      </c>
      <c r="D34" s="9">
        <f>25000/100000</f>
        <v>0.25</v>
      </c>
      <c r="E34" s="9">
        <f>120000/100000</f>
        <v>1.2</v>
      </c>
      <c r="F34" s="9">
        <f>2425000/100000</f>
        <v>24.25</v>
      </c>
      <c r="G34" s="9">
        <f>2416000/100000</f>
        <v>24.16</v>
      </c>
      <c r="H34" s="9">
        <f>2441000/100000</f>
        <v>24.41</v>
      </c>
      <c r="I34" s="9">
        <f>9200000/100000</f>
        <v>92</v>
      </c>
      <c r="J34" s="9">
        <f>2275000/100000</f>
        <v>22.75</v>
      </c>
      <c r="K34" s="9">
        <f>2260000/100000</f>
        <v>22.6</v>
      </c>
    </row>
    <row r="35" spans="1:11" ht="15">
      <c r="A35" s="6">
        <v>40191.083333333336</v>
      </c>
      <c r="B35" s="9">
        <f t="shared" si="2"/>
        <v>0</v>
      </c>
      <c r="C35" s="9">
        <f t="shared" si="1"/>
        <v>0</v>
      </c>
      <c r="D35" s="9">
        <f>15000/100000</f>
        <v>0.15</v>
      </c>
      <c r="E35" s="9">
        <f>80000/100000</f>
        <v>0.8</v>
      </c>
      <c r="F35" s="9">
        <f>2436000/100000</f>
        <v>24.36</v>
      </c>
      <c r="G35" s="9">
        <f>2429000/100000</f>
        <v>24.29</v>
      </c>
      <c r="H35" s="9">
        <f>2454000/100000</f>
        <v>24.54</v>
      </c>
      <c r="I35" s="9">
        <f>9300000/100000</f>
        <v>93</v>
      </c>
      <c r="J35" s="9">
        <f>2305000/100000</f>
        <v>23.05</v>
      </c>
      <c r="K35" s="9">
        <f>2300000/100000</f>
        <v>23</v>
      </c>
    </row>
    <row r="36" spans="1:11" ht="15">
      <c r="A36" s="6">
        <v>40191.125</v>
      </c>
      <c r="B36" s="9">
        <f t="shared" si="2"/>
        <v>0</v>
      </c>
      <c r="C36" s="9">
        <f t="shared" si="1"/>
        <v>0</v>
      </c>
      <c r="D36" s="9">
        <f>40000/100000</f>
        <v>0.4</v>
      </c>
      <c r="E36" s="9">
        <f>110000/100000</f>
        <v>1.1</v>
      </c>
      <c r="F36" s="9">
        <f>2419000/100000</f>
        <v>24.19</v>
      </c>
      <c r="G36" s="9">
        <f>2403000/100000</f>
        <v>24.03</v>
      </c>
      <c r="H36" s="9">
        <f>2444000/100000</f>
        <v>24.44</v>
      </c>
      <c r="I36" s="9">
        <f>9300000/100000</f>
        <v>93</v>
      </c>
      <c r="J36" s="9">
        <f>2280000/100000</f>
        <v>22.8</v>
      </c>
      <c r="K36" s="9">
        <f>2260000/100000</f>
        <v>22.6</v>
      </c>
    </row>
    <row r="37" spans="1:11" ht="15">
      <c r="A37" s="6">
        <v>40191.166666666664</v>
      </c>
      <c r="B37" s="9">
        <f t="shared" si="2"/>
        <v>0</v>
      </c>
      <c r="C37" s="9">
        <f t="shared" si="1"/>
        <v>0</v>
      </c>
      <c r="D37" s="9">
        <f>10000/100000</f>
        <v>0.1</v>
      </c>
      <c r="E37" s="9">
        <f>60000/100000</f>
        <v>0.6</v>
      </c>
      <c r="F37" s="9">
        <f>2394000/100000</f>
        <v>23.94</v>
      </c>
      <c r="G37" s="9">
        <f>2369000/100000</f>
        <v>23.69</v>
      </c>
      <c r="H37" s="9">
        <f>2417000/100000</f>
        <v>24.17</v>
      </c>
      <c r="I37" s="9">
        <f>9300000/100000</f>
        <v>93</v>
      </c>
      <c r="J37" s="9">
        <f>2260000/100000</f>
        <v>22.6</v>
      </c>
      <c r="K37" s="9">
        <f>2250000/100000</f>
        <v>22.5</v>
      </c>
    </row>
    <row r="38" spans="1:11" ht="15">
      <c r="A38" s="6">
        <v>40191.208333333336</v>
      </c>
      <c r="B38" s="9">
        <f t="shared" si="2"/>
        <v>0</v>
      </c>
      <c r="C38" s="9">
        <f t="shared" si="1"/>
        <v>0</v>
      </c>
      <c r="D38" s="9">
        <f>25000/100000</f>
        <v>0.25</v>
      </c>
      <c r="E38" s="9">
        <f>50000/100000</f>
        <v>0.5</v>
      </c>
      <c r="F38" s="9">
        <f>2405000/100000</f>
        <v>24.05</v>
      </c>
      <c r="G38" s="9">
        <f>2391000/100000</f>
        <v>23.91</v>
      </c>
      <c r="H38" s="9">
        <f>2422000/100000</f>
        <v>24.22</v>
      </c>
      <c r="I38" s="9">
        <f>9400000/100000</f>
        <v>94</v>
      </c>
      <c r="J38" s="9">
        <f>2280000/100000</f>
        <v>22.8</v>
      </c>
      <c r="K38" s="9">
        <f>2270000/100000</f>
        <v>22.7</v>
      </c>
    </row>
    <row r="39" spans="1:11" ht="15">
      <c r="A39" s="6">
        <v>40191.25</v>
      </c>
      <c r="B39" s="9">
        <f>2800000/100000</f>
        <v>28</v>
      </c>
      <c r="C39" s="9">
        <f t="shared" si="1"/>
        <v>0</v>
      </c>
      <c r="D39" s="9">
        <f>15000/100000</f>
        <v>0.15</v>
      </c>
      <c r="E39" s="9">
        <f>70000/100000</f>
        <v>0.7</v>
      </c>
      <c r="F39" s="9">
        <f>2425000/100000</f>
        <v>24.25</v>
      </c>
      <c r="G39" s="9">
        <f>2412000/100000</f>
        <v>24.12</v>
      </c>
      <c r="H39" s="9">
        <f>2441000/100000</f>
        <v>24.41</v>
      </c>
      <c r="I39" s="9">
        <f>9300000/100000</f>
        <v>93</v>
      </c>
      <c r="J39" s="9">
        <f>2290000/100000</f>
        <v>22.9</v>
      </c>
      <c r="K39" s="9">
        <f>2270000/100000</f>
        <v>22.7</v>
      </c>
    </row>
    <row r="40" spans="1:11" ht="15">
      <c r="A40" s="6">
        <v>40191.291666666664</v>
      </c>
      <c r="B40" s="9">
        <f>7600000/100000</f>
        <v>76</v>
      </c>
      <c r="C40" s="9">
        <f t="shared" si="1"/>
        <v>0</v>
      </c>
      <c r="D40" s="9">
        <f>60000/100000</f>
        <v>0.6</v>
      </c>
      <c r="E40" s="9">
        <f>130000/100000</f>
        <v>1.3</v>
      </c>
      <c r="F40" s="9">
        <f>2525000/100000</f>
        <v>25.25</v>
      </c>
      <c r="G40" s="9">
        <f>2476000/100000</f>
        <v>24.76</v>
      </c>
      <c r="H40" s="9">
        <f>2584000/100000</f>
        <v>25.84</v>
      </c>
      <c r="I40" s="9">
        <f>8900000/100000</f>
        <v>89</v>
      </c>
      <c r="J40" s="9">
        <f>2320000/100000</f>
        <v>23.2</v>
      </c>
      <c r="K40" s="9">
        <f>2290000/100000</f>
        <v>22.9</v>
      </c>
    </row>
    <row r="41" spans="1:11" ht="15">
      <c r="A41" s="6">
        <v>40191.333333333336</v>
      </c>
      <c r="B41" s="9">
        <f>7200000/100000</f>
        <v>72</v>
      </c>
      <c r="C41" s="9">
        <f t="shared" si="1"/>
        <v>0</v>
      </c>
      <c r="D41" s="9">
        <f>165000/100000</f>
        <v>1.65</v>
      </c>
      <c r="E41" s="9">
        <f>210000/100000</f>
        <v>2.1</v>
      </c>
      <c r="F41" s="9">
        <f>2658000/100000</f>
        <v>26.58</v>
      </c>
      <c r="G41" s="9">
        <f>2596000/100000</f>
        <v>25.96</v>
      </c>
      <c r="H41" s="9">
        <f>2699000/100000</f>
        <v>26.99</v>
      </c>
      <c r="I41" s="9">
        <f>7800000/100000</f>
        <v>78</v>
      </c>
      <c r="J41" s="9">
        <f>2230000/100000</f>
        <v>22.3</v>
      </c>
      <c r="K41" s="9">
        <f>2180000/100000</f>
        <v>21.8</v>
      </c>
    </row>
    <row r="42" spans="1:11" ht="15">
      <c r="A42" s="6">
        <v>40191.375</v>
      </c>
      <c r="B42" s="9">
        <f>10200000/100000</f>
        <v>102</v>
      </c>
      <c r="C42" s="9">
        <f>20000/100000</f>
        <v>0.2</v>
      </c>
      <c r="D42" s="9">
        <f>135000/100000</f>
        <v>1.35</v>
      </c>
      <c r="E42" s="9">
        <f>210000/100000</f>
        <v>2.1</v>
      </c>
      <c r="F42" s="9">
        <f>2712000/100000</f>
        <v>27.12</v>
      </c>
      <c r="G42" s="9">
        <f>2639000/100000</f>
        <v>26.39</v>
      </c>
      <c r="H42" s="9">
        <f>2772000/100000</f>
        <v>27.72</v>
      </c>
      <c r="I42" s="9">
        <f>7400000/100000</f>
        <v>74</v>
      </c>
      <c r="J42" s="9">
        <f>2200000/100000</f>
        <v>22</v>
      </c>
      <c r="K42" s="9">
        <f>2160000/100000</f>
        <v>21.6</v>
      </c>
    </row>
    <row r="43" spans="1:11" ht="15">
      <c r="A43" s="6">
        <v>40191.416666666664</v>
      </c>
      <c r="B43" s="9">
        <f>22600000/100000</f>
        <v>226</v>
      </c>
      <c r="C43" s="9">
        <f>0/100000</f>
        <v>0</v>
      </c>
      <c r="D43" s="9">
        <f>120000/100000</f>
        <v>1.2</v>
      </c>
      <c r="E43" s="9">
        <f>170000/100000</f>
        <v>1.7</v>
      </c>
      <c r="F43" s="9">
        <f>2888000/100000</f>
        <v>28.88</v>
      </c>
      <c r="G43" s="9">
        <f>2824000/100000</f>
        <v>28.24</v>
      </c>
      <c r="H43" s="9">
        <f>2981000/100000</f>
        <v>29.81</v>
      </c>
      <c r="I43" s="9">
        <f>6800000/100000</f>
        <v>68</v>
      </c>
      <c r="J43" s="9">
        <f>2210000/100000</f>
        <v>22.1</v>
      </c>
      <c r="K43" s="9">
        <f>2190000/100000</f>
        <v>21.9</v>
      </c>
    </row>
    <row r="44" spans="1:11" ht="15">
      <c r="A44" s="6">
        <v>40191.458333333336</v>
      </c>
      <c r="B44" s="9">
        <f>14900000/100000</f>
        <v>149</v>
      </c>
      <c r="C44" s="9">
        <f>0/100000</f>
        <v>0</v>
      </c>
      <c r="D44" s="9">
        <f>80000/100000</f>
        <v>0.8</v>
      </c>
      <c r="E44" s="9">
        <f>160000/100000</f>
        <v>1.6</v>
      </c>
      <c r="F44" s="9">
        <f>2961000/100000</f>
        <v>29.61</v>
      </c>
      <c r="G44" s="9">
        <f>2936000/100000</f>
        <v>29.36</v>
      </c>
      <c r="H44" s="9">
        <f>3014000/100000</f>
        <v>30.14</v>
      </c>
      <c r="I44" s="9">
        <f>6300000/100000</f>
        <v>63</v>
      </c>
      <c r="J44" s="9">
        <f>2150000/100000</f>
        <v>21.5</v>
      </c>
      <c r="K44" s="9">
        <f>2120000/100000</f>
        <v>21.2</v>
      </c>
    </row>
    <row r="45" spans="1:11" ht="15">
      <c r="A45" s="6">
        <v>40191.5</v>
      </c>
      <c r="B45" s="9">
        <f>17800000/100000</f>
        <v>178</v>
      </c>
      <c r="C45" s="9">
        <f>0/100000</f>
        <v>0</v>
      </c>
      <c r="D45" s="9">
        <f>180000/100000</f>
        <v>1.8</v>
      </c>
      <c r="E45" s="9">
        <f>290000/100000</f>
        <v>2.9</v>
      </c>
      <c r="F45" s="9">
        <f>3022000/100000</f>
        <v>30.22</v>
      </c>
      <c r="G45" s="9">
        <f>2988000/100000</f>
        <v>29.88</v>
      </c>
      <c r="H45" s="9">
        <f>3066000/100000</f>
        <v>30.66</v>
      </c>
      <c r="I45" s="9">
        <f>6000000/100000</f>
        <v>60</v>
      </c>
      <c r="J45" s="9">
        <f>2135000/100000</f>
        <v>21.35</v>
      </c>
      <c r="K45" s="9">
        <f>2090000/100000</f>
        <v>20.9</v>
      </c>
    </row>
    <row r="46" spans="1:11" ht="15">
      <c r="A46" s="6">
        <v>40191.541666666664</v>
      </c>
      <c r="B46" s="9">
        <f>9200000/100000</f>
        <v>92</v>
      </c>
      <c r="C46" s="9">
        <f>20000/100000</f>
        <v>0.2</v>
      </c>
      <c r="D46" s="9">
        <f>240000/100000</f>
        <v>2.4</v>
      </c>
      <c r="E46" s="9">
        <f>320000/100000</f>
        <v>3.2</v>
      </c>
      <c r="F46" s="9">
        <f>2872000/100000</f>
        <v>28.72</v>
      </c>
      <c r="G46" s="9">
        <f>2792000/100000</f>
        <v>27.92</v>
      </c>
      <c r="H46" s="9">
        <f>2951000/100000</f>
        <v>29.51</v>
      </c>
      <c r="I46" s="9">
        <f>6800000/100000</f>
        <v>68</v>
      </c>
      <c r="J46" s="9">
        <f>2205000/100000</f>
        <v>22.05</v>
      </c>
      <c r="K46" s="9">
        <f>2140000/100000</f>
        <v>21.4</v>
      </c>
    </row>
    <row r="47" spans="1:11" ht="15">
      <c r="A47" s="6">
        <v>40191.583333333336</v>
      </c>
      <c r="B47" s="9">
        <f>7300000/100000</f>
        <v>73</v>
      </c>
      <c r="C47" s="9">
        <f aca="true" t="shared" si="3" ref="C47:C78">0/100000</f>
        <v>0</v>
      </c>
      <c r="D47" s="9">
        <f>235000/100000</f>
        <v>2.35</v>
      </c>
      <c r="E47" s="9">
        <f>320000/100000</f>
        <v>3.2</v>
      </c>
      <c r="F47" s="9">
        <f>2963000/100000</f>
        <v>29.63</v>
      </c>
      <c r="G47" s="9">
        <f>2937000/100000</f>
        <v>29.37</v>
      </c>
      <c r="H47" s="9">
        <f>2986000/100000</f>
        <v>29.86</v>
      </c>
      <c r="I47" s="9">
        <f>5900000/100000</f>
        <v>59</v>
      </c>
      <c r="J47" s="9">
        <f>2050000/100000</f>
        <v>20.5</v>
      </c>
      <c r="K47" s="9">
        <f>1990000/100000</f>
        <v>19.9</v>
      </c>
    </row>
    <row r="48" spans="1:11" ht="15">
      <c r="A48" s="6">
        <v>40191.625</v>
      </c>
      <c r="B48" s="9">
        <f>18900000/100000</f>
        <v>189</v>
      </c>
      <c r="C48" s="9">
        <f t="shared" si="3"/>
        <v>0</v>
      </c>
      <c r="D48" s="9">
        <f>355000/100000</f>
        <v>3.55</v>
      </c>
      <c r="E48" s="9">
        <f>470000/100000</f>
        <v>4.7</v>
      </c>
      <c r="F48" s="9">
        <f>2993000/100000</f>
        <v>29.93</v>
      </c>
      <c r="G48" s="9">
        <f>2898000/100000</f>
        <v>28.98</v>
      </c>
      <c r="H48" s="9">
        <f>3045000/100000</f>
        <v>30.45</v>
      </c>
      <c r="I48" s="9">
        <f>6300000/100000</f>
        <v>63</v>
      </c>
      <c r="J48" s="9">
        <f>2190000/100000</f>
        <v>21.9</v>
      </c>
      <c r="K48" s="9">
        <f>2090000/100000</f>
        <v>20.9</v>
      </c>
    </row>
    <row r="49" spans="1:11" ht="15">
      <c r="A49" s="6">
        <v>40191.666666666664</v>
      </c>
      <c r="B49" s="9">
        <f>15200000/100000</f>
        <v>152</v>
      </c>
      <c r="C49" s="9">
        <f t="shared" si="3"/>
        <v>0</v>
      </c>
      <c r="D49" s="9">
        <f>360000/100000</f>
        <v>3.6</v>
      </c>
      <c r="E49" s="9">
        <f>490000/100000</f>
        <v>4.9</v>
      </c>
      <c r="F49" s="9">
        <f>2933000/100000</f>
        <v>29.33</v>
      </c>
      <c r="G49" s="9">
        <f>2908000/100000</f>
        <v>29.08</v>
      </c>
      <c r="H49" s="9">
        <f>2954000/100000</f>
        <v>29.54</v>
      </c>
      <c r="I49" s="9">
        <f>6700000/100000</f>
        <v>67</v>
      </c>
      <c r="J49" s="9">
        <f>2230000/100000</f>
        <v>22.3</v>
      </c>
      <c r="K49" s="9">
        <f>2220000/100000</f>
        <v>22.2</v>
      </c>
    </row>
    <row r="50" spans="1:11" ht="15">
      <c r="A50" s="6">
        <v>40191.708333333336</v>
      </c>
      <c r="B50" s="9">
        <f>8000000/100000</f>
        <v>80</v>
      </c>
      <c r="C50" s="9">
        <f t="shared" si="3"/>
        <v>0</v>
      </c>
      <c r="D50" s="9">
        <f>360000/100000</f>
        <v>3.6</v>
      </c>
      <c r="E50" s="9">
        <f>450000/100000</f>
        <v>4.5</v>
      </c>
      <c r="F50" s="9">
        <f>2845000/100000</f>
        <v>28.45</v>
      </c>
      <c r="G50" s="9">
        <f>2808000/100000</f>
        <v>28.08</v>
      </c>
      <c r="H50" s="9">
        <f>2928000/100000</f>
        <v>29.28</v>
      </c>
      <c r="I50" s="9">
        <f>7100000/100000</f>
        <v>71</v>
      </c>
      <c r="J50" s="9">
        <f>2240000/100000</f>
        <v>22.4</v>
      </c>
      <c r="K50" s="9">
        <f>2200000/100000</f>
        <v>22</v>
      </c>
    </row>
    <row r="51" spans="1:11" ht="15">
      <c r="A51" s="6">
        <v>40191.75</v>
      </c>
      <c r="B51" s="9">
        <f>1100000/100000</f>
        <v>11</v>
      </c>
      <c r="C51" s="9">
        <f t="shared" si="3"/>
        <v>0</v>
      </c>
      <c r="D51" s="9">
        <f>360000/100000</f>
        <v>3.6</v>
      </c>
      <c r="E51" s="9">
        <f>410000/100000</f>
        <v>4.1</v>
      </c>
      <c r="F51" s="9">
        <f>2723000/100000</f>
        <v>27.23</v>
      </c>
      <c r="G51" s="9">
        <f>2651000/100000</f>
        <v>26.51</v>
      </c>
      <c r="H51" s="9">
        <f>2801000/100000</f>
        <v>28.01</v>
      </c>
      <c r="I51" s="9">
        <f>7300000/100000</f>
        <v>73</v>
      </c>
      <c r="J51" s="9">
        <f>2170000/100000</f>
        <v>21.7</v>
      </c>
      <c r="K51" s="9">
        <f>2150000/100000</f>
        <v>21.5</v>
      </c>
    </row>
    <row r="52" spans="1:11" ht="15">
      <c r="A52" s="6">
        <v>40191.791666666664</v>
      </c>
      <c r="B52" s="9">
        <f aca="true" t="shared" si="4" ref="B52:B62">0/100000</f>
        <v>0</v>
      </c>
      <c r="C52" s="9">
        <f t="shared" si="3"/>
        <v>0</v>
      </c>
      <c r="D52" s="9">
        <f>295000/100000</f>
        <v>2.95</v>
      </c>
      <c r="E52" s="9">
        <f>420000/100000</f>
        <v>4.2</v>
      </c>
      <c r="F52" s="9">
        <f>2586000/100000</f>
        <v>25.86</v>
      </c>
      <c r="G52" s="9">
        <f>2538000/100000</f>
        <v>25.38</v>
      </c>
      <c r="H52" s="9">
        <f>2654000/100000</f>
        <v>26.54</v>
      </c>
      <c r="I52" s="9">
        <f>8000000/100000</f>
        <v>80</v>
      </c>
      <c r="J52" s="9">
        <f>2195000/100000</f>
        <v>21.95</v>
      </c>
      <c r="K52" s="9">
        <f>2170000/100000</f>
        <v>21.7</v>
      </c>
    </row>
    <row r="53" spans="1:11" ht="15">
      <c r="A53" s="6">
        <v>40191.833333333336</v>
      </c>
      <c r="B53" s="9">
        <f t="shared" si="4"/>
        <v>0</v>
      </c>
      <c r="C53" s="9">
        <f t="shared" si="3"/>
        <v>0</v>
      </c>
      <c r="D53" s="9">
        <f>75000/100000</f>
        <v>0.75</v>
      </c>
      <c r="E53" s="9">
        <f>180000/100000</f>
        <v>1.8</v>
      </c>
      <c r="F53" s="9">
        <f>2521000/100000</f>
        <v>25.21</v>
      </c>
      <c r="G53" s="9">
        <f>2510000/100000</f>
        <v>25.1</v>
      </c>
      <c r="H53" s="9">
        <f>2545000/100000</f>
        <v>25.45</v>
      </c>
      <c r="I53" s="9">
        <f>8600000/100000</f>
        <v>86</v>
      </c>
      <c r="J53" s="9">
        <f>2250000/100000</f>
        <v>22.5</v>
      </c>
      <c r="K53" s="9">
        <f>2230000/100000</f>
        <v>22.3</v>
      </c>
    </row>
    <row r="54" spans="1:11" ht="15">
      <c r="A54" s="6">
        <v>40191.875</v>
      </c>
      <c r="B54" s="9">
        <f t="shared" si="4"/>
        <v>0</v>
      </c>
      <c r="C54" s="9">
        <f t="shared" si="3"/>
        <v>0</v>
      </c>
      <c r="D54" s="9">
        <f>50000/100000</f>
        <v>0.5</v>
      </c>
      <c r="E54" s="9">
        <f>150000/100000</f>
        <v>1.5</v>
      </c>
      <c r="F54" s="9">
        <f>2524000/100000</f>
        <v>25.24</v>
      </c>
      <c r="G54" s="9">
        <f>2504000/100000</f>
        <v>25.04</v>
      </c>
      <c r="H54" s="9">
        <f>2545000/100000</f>
        <v>25.45</v>
      </c>
      <c r="I54" s="9">
        <f>8500000/100000</f>
        <v>85</v>
      </c>
      <c r="J54" s="9">
        <f>2230000/100000</f>
        <v>22.3</v>
      </c>
      <c r="K54" s="9">
        <f>2200000/100000</f>
        <v>22</v>
      </c>
    </row>
    <row r="55" spans="1:11" ht="15">
      <c r="A55" s="6">
        <v>40191.916666666664</v>
      </c>
      <c r="B55" s="9">
        <f t="shared" si="4"/>
        <v>0</v>
      </c>
      <c r="C55" s="9">
        <f t="shared" si="3"/>
        <v>0</v>
      </c>
      <c r="D55" s="9">
        <f>25000/100000</f>
        <v>0.25</v>
      </c>
      <c r="E55" s="9">
        <f>70000/100000</f>
        <v>0.7</v>
      </c>
      <c r="F55" s="9">
        <f>2486000/100000</f>
        <v>24.86</v>
      </c>
      <c r="G55" s="9">
        <f>2447000/100000</f>
        <v>24.47</v>
      </c>
      <c r="H55" s="9">
        <f>2530000/100000</f>
        <v>25.3</v>
      </c>
      <c r="I55" s="9">
        <f>8700000/100000</f>
        <v>87</v>
      </c>
      <c r="J55" s="9">
        <f>2240000/100000</f>
        <v>22.4</v>
      </c>
      <c r="K55" s="9">
        <f>2230000/100000</f>
        <v>22.3</v>
      </c>
    </row>
    <row r="56" spans="1:11" ht="15">
      <c r="A56" s="6">
        <v>40191.958333333336</v>
      </c>
      <c r="B56" s="9">
        <f t="shared" si="4"/>
        <v>0</v>
      </c>
      <c r="C56" s="9">
        <f t="shared" si="3"/>
        <v>0</v>
      </c>
      <c r="D56" s="9">
        <f>20000/100000</f>
        <v>0.2</v>
      </c>
      <c r="E56" s="9">
        <f>110000/100000</f>
        <v>1.1</v>
      </c>
      <c r="F56" s="9">
        <f>2443000/100000</f>
        <v>24.43</v>
      </c>
      <c r="G56" s="9">
        <f>2403000/100000</f>
        <v>24.03</v>
      </c>
      <c r="H56" s="9">
        <f>2465000/100000</f>
        <v>24.65</v>
      </c>
      <c r="I56" s="9">
        <f>9000000/100000</f>
        <v>90</v>
      </c>
      <c r="J56" s="9">
        <f>2255000/100000</f>
        <v>22.55</v>
      </c>
      <c r="K56" s="9">
        <f>2240000/100000</f>
        <v>22.4</v>
      </c>
    </row>
    <row r="57" spans="1:11" ht="15">
      <c r="A57" s="6">
        <v>40192</v>
      </c>
      <c r="B57" s="9">
        <f t="shared" si="4"/>
        <v>0</v>
      </c>
      <c r="C57" s="9">
        <f t="shared" si="3"/>
        <v>0</v>
      </c>
      <c r="D57" s="9">
        <f>20000/100000</f>
        <v>0.2</v>
      </c>
      <c r="E57" s="9">
        <f>70000/100000</f>
        <v>0.7</v>
      </c>
      <c r="F57" s="9">
        <f>2382000/100000</f>
        <v>23.82</v>
      </c>
      <c r="G57" s="9">
        <f>2369000/100000</f>
        <v>23.69</v>
      </c>
      <c r="H57" s="9">
        <f>2406000/100000</f>
        <v>24.06</v>
      </c>
      <c r="I57" s="9">
        <f>9300000/100000</f>
        <v>93</v>
      </c>
      <c r="J57" s="9">
        <f>2235000/100000</f>
        <v>22.35</v>
      </c>
      <c r="K57" s="9">
        <f>2220000/100000</f>
        <v>22.2</v>
      </c>
    </row>
    <row r="58" spans="1:11" ht="15">
      <c r="A58" s="6">
        <v>40192.041666666664</v>
      </c>
      <c r="B58" s="9">
        <f t="shared" si="4"/>
        <v>0</v>
      </c>
      <c r="C58" s="9">
        <f t="shared" si="3"/>
        <v>0</v>
      </c>
      <c r="D58" s="9">
        <f>0/100000</f>
        <v>0</v>
      </c>
      <c r="E58" s="9">
        <f>20000/100000</f>
        <v>0.2</v>
      </c>
      <c r="F58" s="9">
        <f>2363000/100000</f>
        <v>23.63</v>
      </c>
      <c r="G58" s="9">
        <f>2339000/100000</f>
        <v>23.39</v>
      </c>
      <c r="H58" s="9">
        <f>2382000/100000</f>
        <v>23.82</v>
      </c>
      <c r="I58" s="9">
        <f>9400000/100000</f>
        <v>94</v>
      </c>
      <c r="J58" s="9">
        <f>2240000/100000</f>
        <v>22.4</v>
      </c>
      <c r="K58" s="9">
        <f>2230000/100000</f>
        <v>22.3</v>
      </c>
    </row>
    <row r="59" spans="1:11" ht="15">
      <c r="A59" s="6">
        <v>40192.083333333336</v>
      </c>
      <c r="B59" s="9">
        <f t="shared" si="4"/>
        <v>0</v>
      </c>
      <c r="C59" s="9">
        <f t="shared" si="3"/>
        <v>0</v>
      </c>
      <c r="D59" s="9">
        <f>0/100000</f>
        <v>0</v>
      </c>
      <c r="E59" s="9">
        <f>0/100000</f>
        <v>0</v>
      </c>
      <c r="F59" s="9">
        <f>2311000/100000</f>
        <v>23.11</v>
      </c>
      <c r="G59" s="9">
        <f>2286000/100000</f>
        <v>22.86</v>
      </c>
      <c r="H59" s="9">
        <f>2341000/100000</f>
        <v>23.41</v>
      </c>
      <c r="I59" s="9">
        <f>9500000/100000</f>
        <v>95</v>
      </c>
      <c r="J59" s="9">
        <f>2220000/100000</f>
        <v>22.2</v>
      </c>
      <c r="K59" s="9">
        <f>2200000/100000</f>
        <v>22</v>
      </c>
    </row>
    <row r="60" spans="1:11" ht="15">
      <c r="A60" s="6">
        <v>40192.125</v>
      </c>
      <c r="B60" s="9">
        <f t="shared" si="4"/>
        <v>0</v>
      </c>
      <c r="C60" s="9">
        <f t="shared" si="3"/>
        <v>0</v>
      </c>
      <c r="D60" s="9">
        <f>10000/100000</f>
        <v>0.1</v>
      </c>
      <c r="E60" s="9">
        <f>100000/100000</f>
        <v>1</v>
      </c>
      <c r="F60" s="9">
        <f>2288000/100000</f>
        <v>22.88</v>
      </c>
      <c r="G60" s="9">
        <f>2251000/100000</f>
        <v>22.51</v>
      </c>
      <c r="H60" s="9">
        <f>2305000/100000</f>
        <v>23.05</v>
      </c>
      <c r="I60" s="9">
        <f>9600000/100000</f>
        <v>96</v>
      </c>
      <c r="J60" s="9">
        <f>2215000/100000</f>
        <v>22.15</v>
      </c>
      <c r="K60" s="9">
        <f>2180000/100000</f>
        <v>21.8</v>
      </c>
    </row>
    <row r="61" spans="1:11" ht="15">
      <c r="A61" s="6">
        <v>40192.166666666664</v>
      </c>
      <c r="B61" s="9">
        <f t="shared" si="4"/>
        <v>0</v>
      </c>
      <c r="C61" s="9">
        <f t="shared" si="3"/>
        <v>0</v>
      </c>
      <c r="D61" s="9">
        <f>10000/100000</f>
        <v>0.1</v>
      </c>
      <c r="E61" s="9">
        <f>70000/100000</f>
        <v>0.7</v>
      </c>
      <c r="F61" s="9">
        <f>2250000/100000</f>
        <v>22.5</v>
      </c>
      <c r="G61" s="9">
        <f>2240000/100000</f>
        <v>22.4</v>
      </c>
      <c r="H61" s="9">
        <f>2262000/100000</f>
        <v>22.62</v>
      </c>
      <c r="I61" s="9">
        <f>9700000/100000</f>
        <v>97</v>
      </c>
      <c r="J61" s="9">
        <f>2190000/100000</f>
        <v>21.9</v>
      </c>
      <c r="K61" s="9">
        <f>2170000/100000</f>
        <v>21.7</v>
      </c>
    </row>
    <row r="62" spans="1:11" ht="15">
      <c r="A62" s="6">
        <v>40192.208333333336</v>
      </c>
      <c r="B62" s="9">
        <f t="shared" si="4"/>
        <v>0</v>
      </c>
      <c r="C62" s="9">
        <f t="shared" si="3"/>
        <v>0</v>
      </c>
      <c r="D62" s="9">
        <f>10000/100000</f>
        <v>0.1</v>
      </c>
      <c r="E62" s="9">
        <f>100000/100000</f>
        <v>1</v>
      </c>
      <c r="F62" s="9">
        <f>2239000/100000</f>
        <v>22.39</v>
      </c>
      <c r="G62" s="9">
        <f>2217000/100000</f>
        <v>22.17</v>
      </c>
      <c r="H62" s="9">
        <f>2260000/100000</f>
        <v>22.6</v>
      </c>
      <c r="I62" s="9">
        <f>9800000/100000</f>
        <v>98</v>
      </c>
      <c r="J62" s="9">
        <f>2185000/100000</f>
        <v>21.85</v>
      </c>
      <c r="K62" s="9">
        <f>2180000/100000</f>
        <v>21.8</v>
      </c>
    </row>
    <row r="63" spans="1:11" ht="15">
      <c r="A63" s="6">
        <v>40192.25</v>
      </c>
      <c r="B63" s="9">
        <f>3200000/100000</f>
        <v>32</v>
      </c>
      <c r="C63" s="9">
        <f t="shared" si="3"/>
        <v>0</v>
      </c>
      <c r="D63" s="9">
        <f>0/100000</f>
        <v>0</v>
      </c>
      <c r="E63" s="9">
        <f>0/100000</f>
        <v>0</v>
      </c>
      <c r="F63" s="9">
        <f>2272000/100000</f>
        <v>22.72</v>
      </c>
      <c r="G63" s="9">
        <f>2227000/100000</f>
        <v>22.27</v>
      </c>
      <c r="H63" s="9">
        <f>2326000/100000</f>
        <v>23.26</v>
      </c>
      <c r="I63" s="9">
        <f>9800000/100000</f>
        <v>98</v>
      </c>
      <c r="J63" s="9">
        <f>2235000/100000</f>
        <v>22.35</v>
      </c>
      <c r="K63" s="9">
        <f>2190000/100000</f>
        <v>21.9</v>
      </c>
    </row>
    <row r="64" spans="1:11" ht="15">
      <c r="A64" s="6">
        <v>40192.291666666664</v>
      </c>
      <c r="B64" s="9">
        <f>6200000/100000</f>
        <v>62</v>
      </c>
      <c r="C64" s="9">
        <f t="shared" si="3"/>
        <v>0</v>
      </c>
      <c r="D64" s="9">
        <f>55000/100000</f>
        <v>0.55</v>
      </c>
      <c r="E64" s="9">
        <f>160000/100000</f>
        <v>1.6</v>
      </c>
      <c r="F64" s="9">
        <f>2467000/100000</f>
        <v>24.67</v>
      </c>
      <c r="G64" s="9">
        <f>2350000/100000</f>
        <v>23.5</v>
      </c>
      <c r="H64" s="9">
        <f>2678000/100000</f>
        <v>26.78</v>
      </c>
      <c r="I64" s="9">
        <f>9400000/100000</f>
        <v>94</v>
      </c>
      <c r="J64" s="9">
        <f>2345000/100000</f>
        <v>23.45</v>
      </c>
      <c r="K64" s="9">
        <f>2250000/100000</f>
        <v>22.5</v>
      </c>
    </row>
    <row r="65" spans="1:11" ht="15">
      <c r="A65" s="6">
        <v>40192.333333333336</v>
      </c>
      <c r="B65" s="9">
        <f>7600000/100000</f>
        <v>76</v>
      </c>
      <c r="C65" s="9">
        <f t="shared" si="3"/>
        <v>0</v>
      </c>
      <c r="D65" s="9">
        <f>90000/100000</f>
        <v>0.9</v>
      </c>
      <c r="E65" s="9">
        <f>170000/100000</f>
        <v>1.7</v>
      </c>
      <c r="F65" s="9">
        <f>2710000/100000</f>
        <v>27.1</v>
      </c>
      <c r="G65" s="9">
        <f>2651000/100000</f>
        <v>26.51</v>
      </c>
      <c r="H65" s="9">
        <f>2782000/100000</f>
        <v>27.82</v>
      </c>
      <c r="I65" s="9">
        <f>7500000/100000</f>
        <v>75</v>
      </c>
      <c r="J65" s="9">
        <f>2215000/100000</f>
        <v>22.15</v>
      </c>
      <c r="K65" s="9">
        <f>2170000/100000</f>
        <v>21.7</v>
      </c>
    </row>
    <row r="66" spans="1:11" ht="15">
      <c r="A66" s="6">
        <v>40192.375</v>
      </c>
      <c r="B66" s="9">
        <f>11400000/100000</f>
        <v>114</v>
      </c>
      <c r="C66" s="9">
        <f t="shared" si="3"/>
        <v>0</v>
      </c>
      <c r="D66" s="9">
        <f>120000/100000</f>
        <v>1.2</v>
      </c>
      <c r="E66" s="9">
        <f>260000/100000</f>
        <v>2.6</v>
      </c>
      <c r="F66" s="9">
        <f>2782000/100000</f>
        <v>27.82</v>
      </c>
      <c r="G66" s="9">
        <f>2727000/100000</f>
        <v>27.27</v>
      </c>
      <c r="H66" s="9">
        <f>2880000/100000</f>
        <v>28.8</v>
      </c>
      <c r="I66" s="9">
        <f>7100000/100000</f>
        <v>71</v>
      </c>
      <c r="J66" s="9">
        <f>2185000/100000</f>
        <v>21.85</v>
      </c>
      <c r="K66" s="9">
        <f>2160000/100000</f>
        <v>21.6</v>
      </c>
    </row>
    <row r="67" spans="1:11" ht="15">
      <c r="A67" s="6">
        <v>40192.416666666664</v>
      </c>
      <c r="B67" s="9">
        <f>35300000/100000</f>
        <v>353</v>
      </c>
      <c r="C67" s="9">
        <f t="shared" si="3"/>
        <v>0</v>
      </c>
      <c r="D67" s="9">
        <f>245000/100000</f>
        <v>2.45</v>
      </c>
      <c r="E67" s="9">
        <f>370000/100000</f>
        <v>3.7</v>
      </c>
      <c r="F67" s="9">
        <f>3011000/100000</f>
        <v>30.11</v>
      </c>
      <c r="G67" s="9">
        <f>2943000/100000</f>
        <v>29.43</v>
      </c>
      <c r="H67" s="9">
        <f>3089000/100000</f>
        <v>30.89</v>
      </c>
      <c r="I67" s="9">
        <f>6200000/100000</f>
        <v>62</v>
      </c>
      <c r="J67" s="9">
        <f>2185000/100000</f>
        <v>21.85</v>
      </c>
      <c r="K67" s="9">
        <f>2160000/100000</f>
        <v>21.6</v>
      </c>
    </row>
    <row r="68" spans="1:11" ht="15">
      <c r="A68" s="6">
        <v>40192.458333333336</v>
      </c>
      <c r="B68" s="9">
        <f>34400000/100000</f>
        <v>344</v>
      </c>
      <c r="C68" s="9">
        <f t="shared" si="3"/>
        <v>0</v>
      </c>
      <c r="D68" s="9">
        <f>205000/100000</f>
        <v>2.05</v>
      </c>
      <c r="E68" s="9">
        <f>370000/100000</f>
        <v>3.7</v>
      </c>
      <c r="F68" s="9">
        <f>3102000/100000</f>
        <v>31.02</v>
      </c>
      <c r="G68" s="9">
        <f>3012000/100000</f>
        <v>30.12</v>
      </c>
      <c r="H68" s="9">
        <f>3181000/100000</f>
        <v>31.81</v>
      </c>
      <c r="I68" s="9">
        <f>5800000/100000</f>
        <v>58</v>
      </c>
      <c r="J68" s="9">
        <f>2155000/100000</f>
        <v>21.55</v>
      </c>
      <c r="K68" s="9">
        <f>2070000/100000</f>
        <v>20.7</v>
      </c>
    </row>
    <row r="69" spans="1:11" ht="15">
      <c r="A69" s="6">
        <v>40192.5</v>
      </c>
      <c r="B69" s="9">
        <f>32000000/100000</f>
        <v>320</v>
      </c>
      <c r="C69" s="9">
        <f t="shared" si="3"/>
        <v>0</v>
      </c>
      <c r="D69" s="9">
        <f>180000/100000</f>
        <v>1.8</v>
      </c>
      <c r="E69" s="9">
        <f>260000/100000</f>
        <v>2.6</v>
      </c>
      <c r="F69" s="9">
        <f>3220000/100000</f>
        <v>32.2</v>
      </c>
      <c r="G69" s="9">
        <f>3091000/100000</f>
        <v>30.91</v>
      </c>
      <c r="H69" s="9">
        <f>3296000/100000</f>
        <v>32.96</v>
      </c>
      <c r="I69" s="9">
        <f>5100000/100000</f>
        <v>51</v>
      </c>
      <c r="J69" s="9">
        <f>2055000/100000</f>
        <v>20.55</v>
      </c>
      <c r="K69" s="9">
        <f>1930000/100000</f>
        <v>19.3</v>
      </c>
    </row>
    <row r="70" spans="1:11" ht="15">
      <c r="A70" s="6">
        <v>40192.541666666664</v>
      </c>
      <c r="B70" s="9">
        <f>39900000/100000</f>
        <v>399</v>
      </c>
      <c r="C70" s="9">
        <f t="shared" si="3"/>
        <v>0</v>
      </c>
      <c r="D70" s="9">
        <f>385000/100000</f>
        <v>3.85</v>
      </c>
      <c r="E70" s="9">
        <f>470000/100000</f>
        <v>4.7</v>
      </c>
      <c r="F70" s="9">
        <f>3309000/100000</f>
        <v>33.09</v>
      </c>
      <c r="G70" s="9">
        <f>3260000/100000</f>
        <v>32.6</v>
      </c>
      <c r="H70" s="9">
        <f>3353000/100000</f>
        <v>33.53</v>
      </c>
      <c r="I70" s="9">
        <f>4900000/100000</f>
        <v>49</v>
      </c>
      <c r="J70" s="9">
        <f>2070000/100000</f>
        <v>20.7</v>
      </c>
      <c r="K70" s="9">
        <f>1970000/100000</f>
        <v>19.7</v>
      </c>
    </row>
    <row r="71" spans="1:11" ht="15">
      <c r="A71" s="6">
        <v>40192.583333333336</v>
      </c>
      <c r="B71" s="9">
        <f>26800000/100000</f>
        <v>268</v>
      </c>
      <c r="C71" s="9">
        <f t="shared" si="3"/>
        <v>0</v>
      </c>
      <c r="D71" s="9">
        <f>370000/100000</f>
        <v>3.7</v>
      </c>
      <c r="E71" s="9">
        <f>440000/100000</f>
        <v>4.4</v>
      </c>
      <c r="F71" s="9">
        <f>3247000/100000</f>
        <v>32.47</v>
      </c>
      <c r="G71" s="9">
        <f>3168000/100000</f>
        <v>31.68</v>
      </c>
      <c r="H71" s="9">
        <f>3358000/100000</f>
        <v>33.58</v>
      </c>
      <c r="I71" s="9">
        <f>5200000/100000</f>
        <v>52</v>
      </c>
      <c r="J71" s="9">
        <f>2090000/100000</f>
        <v>20.9</v>
      </c>
      <c r="K71" s="9">
        <f>2050000/100000</f>
        <v>20.5</v>
      </c>
    </row>
    <row r="72" spans="1:11" ht="15">
      <c r="A72" s="6">
        <v>40192.625</v>
      </c>
      <c r="B72" s="9">
        <f>19900000/100000</f>
        <v>199</v>
      </c>
      <c r="C72" s="9">
        <f t="shared" si="3"/>
        <v>0</v>
      </c>
      <c r="D72" s="9">
        <f>410000/100000</f>
        <v>4.1</v>
      </c>
      <c r="E72" s="9">
        <f>490000/100000</f>
        <v>4.9</v>
      </c>
      <c r="F72" s="9">
        <f>3114000/100000</f>
        <v>31.14</v>
      </c>
      <c r="G72" s="9">
        <f>2964000/100000</f>
        <v>29.64</v>
      </c>
      <c r="H72" s="9">
        <f>3194000/100000</f>
        <v>31.94</v>
      </c>
      <c r="I72" s="9">
        <f>6000000/100000</f>
        <v>60</v>
      </c>
      <c r="J72" s="9">
        <f>2230000/100000</f>
        <v>22.3</v>
      </c>
      <c r="K72" s="9">
        <f>2170000/100000</f>
        <v>21.7</v>
      </c>
    </row>
    <row r="73" spans="1:11" ht="15">
      <c r="A73" s="6">
        <v>40192.666666666664</v>
      </c>
      <c r="B73" s="9">
        <f>5000000/100000</f>
        <v>50</v>
      </c>
      <c r="C73" s="9">
        <f t="shared" si="3"/>
        <v>0</v>
      </c>
      <c r="D73" s="9">
        <f>350000/100000</f>
        <v>3.5</v>
      </c>
      <c r="E73" s="9">
        <f>440000/100000</f>
        <v>4.4</v>
      </c>
      <c r="F73" s="9">
        <f>2893000/100000</f>
        <v>28.93</v>
      </c>
      <c r="G73" s="9">
        <f>2852000/100000</f>
        <v>28.52</v>
      </c>
      <c r="H73" s="9">
        <f>2958000/100000</f>
        <v>29.58</v>
      </c>
      <c r="I73" s="9">
        <f>6700000/100000</f>
        <v>67</v>
      </c>
      <c r="J73" s="9">
        <f>2215000/100000</f>
        <v>22.15</v>
      </c>
      <c r="K73" s="9">
        <f>2180000/100000</f>
        <v>21.8</v>
      </c>
    </row>
    <row r="74" spans="1:11" ht="15">
      <c r="A74" s="6">
        <v>40192.708333333336</v>
      </c>
      <c r="B74" s="9">
        <f>2700000/100000</f>
        <v>27</v>
      </c>
      <c r="C74" s="9">
        <f t="shared" si="3"/>
        <v>0</v>
      </c>
      <c r="D74" s="9">
        <f>335000/100000</f>
        <v>3.35</v>
      </c>
      <c r="E74" s="9">
        <f>390000/100000</f>
        <v>3.9</v>
      </c>
      <c r="F74" s="9">
        <f>2794000/100000</f>
        <v>27.94</v>
      </c>
      <c r="G74" s="9">
        <f>2745000/100000</f>
        <v>27.45</v>
      </c>
      <c r="H74" s="9">
        <f>2852000/100000</f>
        <v>28.52</v>
      </c>
      <c r="I74" s="9">
        <f>7100000/100000</f>
        <v>71</v>
      </c>
      <c r="J74" s="9">
        <f>2195000/100000</f>
        <v>21.95</v>
      </c>
      <c r="K74" s="9">
        <f>2170000/100000</f>
        <v>21.7</v>
      </c>
    </row>
    <row r="75" spans="1:11" ht="15">
      <c r="A75" s="6">
        <v>40192.75</v>
      </c>
      <c r="B75" s="9">
        <f>400000/100000</f>
        <v>4</v>
      </c>
      <c r="C75" s="9">
        <f t="shared" si="3"/>
        <v>0</v>
      </c>
      <c r="D75" s="9">
        <f>290000/100000</f>
        <v>2.9</v>
      </c>
      <c r="E75" s="9">
        <f>410000/100000</f>
        <v>4.1</v>
      </c>
      <c r="F75" s="9">
        <f>2689000/100000</f>
        <v>26.89</v>
      </c>
      <c r="G75" s="9">
        <f>2654000/100000</f>
        <v>26.54</v>
      </c>
      <c r="H75" s="9">
        <f>2737000/100000</f>
        <v>27.37</v>
      </c>
      <c r="I75" s="9">
        <f>7500000/100000</f>
        <v>75</v>
      </c>
      <c r="J75" s="9">
        <f>2180000/100000</f>
        <v>21.8</v>
      </c>
      <c r="K75" s="9">
        <f>2160000/100000</f>
        <v>21.6</v>
      </c>
    </row>
    <row r="76" spans="1:11" ht="15">
      <c r="A76" s="6">
        <v>40192.791666666664</v>
      </c>
      <c r="B76" s="9">
        <f aca="true" t="shared" si="5" ref="B76:B86">0/100000</f>
        <v>0</v>
      </c>
      <c r="C76" s="9">
        <f t="shared" si="3"/>
        <v>0</v>
      </c>
      <c r="D76" s="9">
        <f>215000/100000</f>
        <v>2.15</v>
      </c>
      <c r="E76" s="9">
        <f>260000/100000</f>
        <v>2.6</v>
      </c>
      <c r="F76" s="9">
        <f>2609000/100000</f>
        <v>26.09</v>
      </c>
      <c r="G76" s="9">
        <f>2583000/100000</f>
        <v>25.83</v>
      </c>
      <c r="H76" s="9">
        <f>2647000/100000</f>
        <v>26.47</v>
      </c>
      <c r="I76" s="9">
        <f>8000000/100000</f>
        <v>80</v>
      </c>
      <c r="J76" s="9">
        <f>2210000/100000</f>
        <v>22.1</v>
      </c>
      <c r="K76" s="9">
        <f>2200000/100000</f>
        <v>22</v>
      </c>
    </row>
    <row r="77" spans="1:11" ht="15">
      <c r="A77" s="6">
        <v>40192.833333333336</v>
      </c>
      <c r="B77" s="9">
        <f t="shared" si="5"/>
        <v>0</v>
      </c>
      <c r="C77" s="9">
        <f t="shared" si="3"/>
        <v>0</v>
      </c>
      <c r="D77" s="9">
        <f>95000/100000</f>
        <v>0.95</v>
      </c>
      <c r="E77" s="9">
        <f>200000/100000</f>
        <v>2</v>
      </c>
      <c r="F77" s="9">
        <f>2561000/100000</f>
        <v>25.61</v>
      </c>
      <c r="G77" s="9">
        <f>2525000/100000</f>
        <v>25.25</v>
      </c>
      <c r="H77" s="9">
        <f>2591000/100000</f>
        <v>25.91</v>
      </c>
      <c r="I77" s="9">
        <f>8100000/100000</f>
        <v>81</v>
      </c>
      <c r="J77" s="9">
        <f>2210000/100000</f>
        <v>22.1</v>
      </c>
      <c r="K77" s="9">
        <f>2190000/100000</f>
        <v>21.9</v>
      </c>
    </row>
    <row r="78" spans="1:11" ht="15">
      <c r="A78" s="6">
        <v>40192.875</v>
      </c>
      <c r="B78" s="9">
        <f t="shared" si="5"/>
        <v>0</v>
      </c>
      <c r="C78" s="9">
        <f t="shared" si="3"/>
        <v>0</v>
      </c>
      <c r="D78" s="9">
        <f>30000/100000</f>
        <v>0.3</v>
      </c>
      <c r="E78" s="9">
        <f>70000/100000</f>
        <v>0.7</v>
      </c>
      <c r="F78" s="9">
        <f>2494000/100000</f>
        <v>24.94</v>
      </c>
      <c r="G78" s="9">
        <f>2472000/100000</f>
        <v>24.72</v>
      </c>
      <c r="H78" s="9">
        <f>2514000/100000</f>
        <v>25.14</v>
      </c>
      <c r="I78" s="9">
        <f>8400000/100000</f>
        <v>84</v>
      </c>
      <c r="J78" s="9">
        <f>2180000/100000</f>
        <v>21.8</v>
      </c>
      <c r="K78" s="9">
        <f>2180000/100000</f>
        <v>21.8</v>
      </c>
    </row>
    <row r="79" spans="1:11" ht="15">
      <c r="A79" s="6">
        <v>40192.916666666664</v>
      </c>
      <c r="B79" s="9">
        <f t="shared" si="5"/>
        <v>0</v>
      </c>
      <c r="C79" s="9">
        <f aca="true" t="shared" si="6" ref="C79:C107">0/100000</f>
        <v>0</v>
      </c>
      <c r="D79" s="9">
        <f>15000/100000</f>
        <v>0.15</v>
      </c>
      <c r="E79" s="9">
        <f>60000/100000</f>
        <v>0.6</v>
      </c>
      <c r="F79" s="9">
        <f>2444000/100000</f>
        <v>24.44</v>
      </c>
      <c r="G79" s="9">
        <f>2413000/100000</f>
        <v>24.13</v>
      </c>
      <c r="H79" s="9">
        <f>2469000/100000</f>
        <v>24.69</v>
      </c>
      <c r="I79" s="9">
        <f>8600000/100000</f>
        <v>86</v>
      </c>
      <c r="J79" s="9">
        <f>2185000/100000</f>
        <v>21.85</v>
      </c>
      <c r="K79" s="9">
        <f>2170000/100000</f>
        <v>21.7</v>
      </c>
    </row>
    <row r="80" spans="1:11" ht="15">
      <c r="A80" s="6">
        <v>40192.958333333336</v>
      </c>
      <c r="B80" s="9">
        <f t="shared" si="5"/>
        <v>0</v>
      </c>
      <c r="C80" s="9">
        <f t="shared" si="6"/>
        <v>0</v>
      </c>
      <c r="D80" s="9">
        <f>15000/100000</f>
        <v>0.15</v>
      </c>
      <c r="E80" s="9">
        <f>70000/100000</f>
        <v>0.7</v>
      </c>
      <c r="F80" s="9">
        <f>2384000/100000</f>
        <v>23.84</v>
      </c>
      <c r="G80" s="9">
        <f>2371000/100000</f>
        <v>23.71</v>
      </c>
      <c r="H80" s="9">
        <f>2412000/100000</f>
        <v>24.12</v>
      </c>
      <c r="I80" s="9">
        <f>8900000/100000</f>
        <v>89</v>
      </c>
      <c r="J80" s="9">
        <f>2185000/100000</f>
        <v>21.85</v>
      </c>
      <c r="K80" s="9">
        <f>2180000/100000</f>
        <v>21.8</v>
      </c>
    </row>
    <row r="81" spans="1:11" ht="15">
      <c r="A81" s="6">
        <v>40193</v>
      </c>
      <c r="B81" s="9">
        <f t="shared" si="5"/>
        <v>0</v>
      </c>
      <c r="C81" s="9">
        <f t="shared" si="6"/>
        <v>0</v>
      </c>
      <c r="D81" s="9">
        <f>5000/100000</f>
        <v>0.05</v>
      </c>
      <c r="E81" s="9">
        <f>40000/100000</f>
        <v>0.4</v>
      </c>
      <c r="F81" s="9">
        <f>2333000/100000</f>
        <v>23.33</v>
      </c>
      <c r="G81" s="9">
        <f>2297000/100000</f>
        <v>22.97</v>
      </c>
      <c r="H81" s="9">
        <f>2363000/100000</f>
        <v>23.63</v>
      </c>
      <c r="I81" s="9">
        <f>9200000/100000</f>
        <v>92</v>
      </c>
      <c r="J81" s="9">
        <f>2175000/100000</f>
        <v>21.75</v>
      </c>
      <c r="K81" s="9">
        <f>2160000/100000</f>
        <v>21.6</v>
      </c>
    </row>
    <row r="82" spans="1:11" ht="15">
      <c r="A82" s="6">
        <v>40193.041666666664</v>
      </c>
      <c r="B82" s="9">
        <f t="shared" si="5"/>
        <v>0</v>
      </c>
      <c r="C82" s="9">
        <f t="shared" si="6"/>
        <v>0</v>
      </c>
      <c r="D82" s="9">
        <f>0/100000</f>
        <v>0</v>
      </c>
      <c r="E82" s="9">
        <f>20000/100000</f>
        <v>0.2</v>
      </c>
      <c r="F82" s="9">
        <f>2296000/100000</f>
        <v>22.96</v>
      </c>
      <c r="G82" s="9">
        <f>2293000/100000</f>
        <v>22.93</v>
      </c>
      <c r="H82" s="9">
        <f>2300000/100000</f>
        <v>23</v>
      </c>
      <c r="I82" s="9">
        <f>9400000/100000</f>
        <v>94</v>
      </c>
      <c r="J82" s="9">
        <f>2175000/100000</f>
        <v>21.75</v>
      </c>
      <c r="K82" s="9">
        <f>2170000/100000</f>
        <v>21.7</v>
      </c>
    </row>
    <row r="83" spans="1:11" ht="15">
      <c r="A83" s="6">
        <v>40193.083333333336</v>
      </c>
      <c r="B83" s="9">
        <f t="shared" si="5"/>
        <v>0</v>
      </c>
      <c r="C83" s="9">
        <f t="shared" si="6"/>
        <v>0</v>
      </c>
      <c r="D83" s="9">
        <f>0/100000</f>
        <v>0</v>
      </c>
      <c r="E83" s="9">
        <f>0/100000</f>
        <v>0</v>
      </c>
      <c r="F83" s="9">
        <f>2280000/100000</f>
        <v>22.8</v>
      </c>
      <c r="G83" s="9">
        <f>2265000/100000</f>
        <v>22.65</v>
      </c>
      <c r="H83" s="9">
        <f>2293000/100000</f>
        <v>22.93</v>
      </c>
      <c r="I83" s="9">
        <f>9500000/100000</f>
        <v>95</v>
      </c>
      <c r="J83" s="9">
        <f>2175000/100000</f>
        <v>21.75</v>
      </c>
      <c r="K83" s="9">
        <f>2160000/100000</f>
        <v>21.6</v>
      </c>
    </row>
    <row r="84" spans="1:11" ht="15">
      <c r="A84" s="6">
        <v>40193.125</v>
      </c>
      <c r="B84" s="9">
        <f t="shared" si="5"/>
        <v>0</v>
      </c>
      <c r="C84" s="9">
        <f t="shared" si="6"/>
        <v>0</v>
      </c>
      <c r="D84" s="9">
        <f>0/100000</f>
        <v>0</v>
      </c>
      <c r="E84" s="9">
        <f>20000/100000</f>
        <v>0.2</v>
      </c>
      <c r="F84" s="9">
        <f>2245000/100000</f>
        <v>22.45</v>
      </c>
      <c r="G84" s="9">
        <f>2223000/100000</f>
        <v>22.23</v>
      </c>
      <c r="H84" s="9">
        <f>2267000/100000</f>
        <v>22.67</v>
      </c>
      <c r="I84" s="9">
        <f>9500000/100000</f>
        <v>95</v>
      </c>
      <c r="J84" s="9">
        <f>2160000/100000</f>
        <v>21.6</v>
      </c>
      <c r="K84" s="9">
        <f>2140000/100000</f>
        <v>21.4</v>
      </c>
    </row>
    <row r="85" spans="1:11" ht="15">
      <c r="A85" s="6">
        <v>40193.166666666664</v>
      </c>
      <c r="B85" s="9">
        <f t="shared" si="5"/>
        <v>0</v>
      </c>
      <c r="C85" s="9">
        <f t="shared" si="6"/>
        <v>0</v>
      </c>
      <c r="D85" s="9">
        <f>0/100000</f>
        <v>0</v>
      </c>
      <c r="E85" s="9">
        <f>0/100000</f>
        <v>0</v>
      </c>
      <c r="F85" s="9">
        <f>2259000/100000</f>
        <v>22.59</v>
      </c>
      <c r="G85" s="9">
        <f>2240000/100000</f>
        <v>22.4</v>
      </c>
      <c r="H85" s="9">
        <f>2270000/100000</f>
        <v>22.7</v>
      </c>
      <c r="I85" s="9">
        <f>9600000/100000</f>
        <v>96</v>
      </c>
      <c r="J85" s="9">
        <f>2180000/100000</f>
        <v>21.8</v>
      </c>
      <c r="K85" s="9">
        <f>2170000/100000</f>
        <v>21.7</v>
      </c>
    </row>
    <row r="86" spans="1:11" ht="15">
      <c r="A86" s="6">
        <v>40193.208333333336</v>
      </c>
      <c r="B86" s="9">
        <f t="shared" si="5"/>
        <v>0</v>
      </c>
      <c r="C86" s="9">
        <f t="shared" si="6"/>
        <v>0</v>
      </c>
      <c r="D86" s="9">
        <f>5000/100000</f>
        <v>0.05</v>
      </c>
      <c r="E86" s="9">
        <f>70000/100000</f>
        <v>0.7</v>
      </c>
      <c r="F86" s="9">
        <f>2279000/100000</f>
        <v>22.79</v>
      </c>
      <c r="G86" s="9">
        <f>2267000/100000</f>
        <v>22.67</v>
      </c>
      <c r="H86" s="9">
        <f>2290000/100000</f>
        <v>22.9</v>
      </c>
      <c r="I86" s="9">
        <f>9600000/100000</f>
        <v>96</v>
      </c>
      <c r="J86" s="9">
        <f>2195000/100000</f>
        <v>21.95</v>
      </c>
      <c r="K86" s="9">
        <f>2190000/100000</f>
        <v>21.9</v>
      </c>
    </row>
    <row r="87" spans="1:11" ht="15">
      <c r="A87" s="6">
        <v>40193.25</v>
      </c>
      <c r="B87" s="9">
        <f>2800000/100000</f>
        <v>28</v>
      </c>
      <c r="C87" s="9">
        <f t="shared" si="6"/>
        <v>0</v>
      </c>
      <c r="D87" s="9">
        <f>0/100000</f>
        <v>0</v>
      </c>
      <c r="E87" s="9">
        <f>0/100000</f>
        <v>0</v>
      </c>
      <c r="F87" s="9">
        <f>2330000/100000</f>
        <v>23.3</v>
      </c>
      <c r="G87" s="9">
        <f>2267000/100000</f>
        <v>22.67</v>
      </c>
      <c r="H87" s="9">
        <f>2423000/100000</f>
        <v>24.23</v>
      </c>
      <c r="I87" s="9">
        <f>9600000/100000</f>
        <v>96</v>
      </c>
      <c r="J87" s="9">
        <f>2240000/100000</f>
        <v>22.4</v>
      </c>
      <c r="K87" s="9">
        <f>2190000/100000</f>
        <v>21.9</v>
      </c>
    </row>
    <row r="88" spans="1:11" ht="15">
      <c r="A88" s="6">
        <v>40193.291666666664</v>
      </c>
      <c r="B88" s="9">
        <f>4200000/100000</f>
        <v>42</v>
      </c>
      <c r="C88" s="9">
        <f t="shared" si="6"/>
        <v>0</v>
      </c>
      <c r="D88" s="9">
        <f>25000/100000</f>
        <v>0.25</v>
      </c>
      <c r="E88" s="9">
        <f>110000/100000</f>
        <v>1.1</v>
      </c>
      <c r="F88" s="9">
        <f>2552000/100000</f>
        <v>25.52</v>
      </c>
      <c r="G88" s="9">
        <f>2455000/100000</f>
        <v>24.55</v>
      </c>
      <c r="H88" s="9">
        <f>2611000/100000</f>
        <v>26.11</v>
      </c>
      <c r="I88" s="9">
        <f>8700000/100000</f>
        <v>87</v>
      </c>
      <c r="J88" s="9">
        <f>2300000/100000</f>
        <v>23</v>
      </c>
      <c r="K88" s="9">
        <f>2270000/100000</f>
        <v>22.7</v>
      </c>
    </row>
    <row r="89" spans="1:11" ht="15">
      <c r="A89" s="6">
        <v>40193.333333333336</v>
      </c>
      <c r="B89" s="9">
        <f>10900000/100000</f>
        <v>109</v>
      </c>
      <c r="C89" s="9">
        <f t="shared" si="6"/>
        <v>0</v>
      </c>
      <c r="D89" s="9">
        <f>100000/100000</f>
        <v>1</v>
      </c>
      <c r="E89" s="9">
        <f>160000/100000</f>
        <v>1.6</v>
      </c>
      <c r="F89" s="9">
        <f>2712000/100000</f>
        <v>27.12</v>
      </c>
      <c r="G89" s="9">
        <f>2623000/100000</f>
        <v>26.23</v>
      </c>
      <c r="H89" s="9">
        <f>2779000/100000</f>
        <v>27.79</v>
      </c>
      <c r="I89" s="9">
        <f>7300000/100000</f>
        <v>73</v>
      </c>
      <c r="J89" s="9">
        <f>2160000/100000</f>
        <v>21.6</v>
      </c>
      <c r="K89" s="9">
        <f>2120000/100000</f>
        <v>21.2</v>
      </c>
    </row>
    <row r="90" spans="1:11" ht="15">
      <c r="A90" s="6">
        <v>40193.375</v>
      </c>
      <c r="B90" s="9">
        <f>18000000/100000</f>
        <v>180</v>
      </c>
      <c r="C90" s="9">
        <f t="shared" si="6"/>
        <v>0</v>
      </c>
      <c r="D90" s="9">
        <f>100000/100000</f>
        <v>1</v>
      </c>
      <c r="E90" s="9">
        <f>180000/100000</f>
        <v>1.8</v>
      </c>
      <c r="F90" s="9">
        <f>2815000/100000</f>
        <v>28.15</v>
      </c>
      <c r="G90" s="9">
        <f>2769000/100000</f>
        <v>27.69</v>
      </c>
      <c r="H90" s="9">
        <f>2876000/100000</f>
        <v>28.76</v>
      </c>
      <c r="I90" s="9">
        <f>6700000/100000</f>
        <v>67</v>
      </c>
      <c r="J90" s="9">
        <f>2115000/100000</f>
        <v>21.15</v>
      </c>
      <c r="K90" s="9">
        <f>2090000/100000</f>
        <v>20.9</v>
      </c>
    </row>
    <row r="91" spans="1:11" ht="15">
      <c r="A91" s="6">
        <v>40193.416666666664</v>
      </c>
      <c r="B91" s="9">
        <f>14600000/100000</f>
        <v>146</v>
      </c>
      <c r="C91" s="9">
        <f t="shared" si="6"/>
        <v>0</v>
      </c>
      <c r="D91" s="9">
        <f>140000/100000</f>
        <v>1.4</v>
      </c>
      <c r="E91" s="9">
        <f>250000/100000</f>
        <v>2.5</v>
      </c>
      <c r="F91" s="9">
        <f>2902000/100000</f>
        <v>29.02</v>
      </c>
      <c r="G91" s="9">
        <f>2814000/100000</f>
        <v>28.14</v>
      </c>
      <c r="H91" s="9">
        <f>2986000/100000</f>
        <v>29.86</v>
      </c>
      <c r="I91" s="9">
        <f>6300000/100000</f>
        <v>63</v>
      </c>
      <c r="J91" s="9">
        <f>2115000/100000</f>
        <v>21.15</v>
      </c>
      <c r="K91" s="9">
        <f>2060000/100000</f>
        <v>20.6</v>
      </c>
    </row>
    <row r="92" spans="1:11" ht="15">
      <c r="A92" s="6">
        <v>40193.458333333336</v>
      </c>
      <c r="B92" s="9">
        <f>34800000/100000</f>
        <v>348</v>
      </c>
      <c r="C92" s="9">
        <f t="shared" si="6"/>
        <v>0</v>
      </c>
      <c r="D92" s="9">
        <f>255000/100000</f>
        <v>2.55</v>
      </c>
      <c r="E92" s="9">
        <f>370000/100000</f>
        <v>3.7</v>
      </c>
      <c r="F92" s="9">
        <f>3070000/100000</f>
        <v>30.7</v>
      </c>
      <c r="G92" s="9">
        <f>2975000/100000</f>
        <v>29.75</v>
      </c>
      <c r="H92" s="9">
        <f>3163000/100000</f>
        <v>31.63</v>
      </c>
      <c r="I92" s="9">
        <f>5500000/100000</f>
        <v>55</v>
      </c>
      <c r="J92" s="9">
        <f>2050000/100000</f>
        <v>20.5</v>
      </c>
      <c r="K92" s="9">
        <f>2010000/100000</f>
        <v>20.1</v>
      </c>
    </row>
    <row r="93" spans="1:11" ht="15">
      <c r="A93" s="6">
        <v>40193.5</v>
      </c>
      <c r="B93" s="9">
        <f>22700000/100000</f>
        <v>227</v>
      </c>
      <c r="C93" s="9">
        <f t="shared" si="6"/>
        <v>0</v>
      </c>
      <c r="D93" s="9">
        <f>295000/100000</f>
        <v>2.95</v>
      </c>
      <c r="E93" s="9">
        <f>450000/100000</f>
        <v>4.5</v>
      </c>
      <c r="F93" s="9">
        <f>3104000/100000</f>
        <v>31.04</v>
      </c>
      <c r="G93" s="9">
        <f>3038000/100000</f>
        <v>30.38</v>
      </c>
      <c r="H93" s="9">
        <f>3184000/100000</f>
        <v>31.84</v>
      </c>
      <c r="I93" s="9">
        <f>5300000/100000</f>
        <v>53</v>
      </c>
      <c r="J93" s="9">
        <f>2020000/100000</f>
        <v>20.2</v>
      </c>
      <c r="K93" s="9">
        <f>1950000/100000</f>
        <v>19.5</v>
      </c>
    </row>
    <row r="94" spans="1:11" ht="15">
      <c r="A94" s="6">
        <v>40193.541666666664</v>
      </c>
      <c r="B94" s="9">
        <f>34700000/100000</f>
        <v>347</v>
      </c>
      <c r="C94" s="9">
        <f t="shared" si="6"/>
        <v>0</v>
      </c>
      <c r="D94" s="9">
        <f>360000/100000</f>
        <v>3.6</v>
      </c>
      <c r="E94" s="9">
        <f>540000/100000</f>
        <v>5.4</v>
      </c>
      <c r="F94" s="9">
        <f>3205000/100000</f>
        <v>32.05</v>
      </c>
      <c r="G94" s="9">
        <f>3117000/100000</f>
        <v>31.17</v>
      </c>
      <c r="H94" s="9">
        <f>3316000/100000</f>
        <v>33.16</v>
      </c>
      <c r="I94" s="9">
        <f>4800000/100000</f>
        <v>48</v>
      </c>
      <c r="J94" s="9">
        <f>1945000/100000</f>
        <v>19.45</v>
      </c>
      <c r="K94" s="9">
        <f>1890000/100000</f>
        <v>18.9</v>
      </c>
    </row>
    <row r="95" spans="1:11" ht="15">
      <c r="A95" s="6">
        <v>40193.583333333336</v>
      </c>
      <c r="B95" s="9">
        <f>33600000/100000</f>
        <v>336</v>
      </c>
      <c r="C95" s="9">
        <f t="shared" si="6"/>
        <v>0</v>
      </c>
      <c r="D95" s="9">
        <f>440000/100000</f>
        <v>4.4</v>
      </c>
      <c r="E95" s="9">
        <f>540000/100000</f>
        <v>5.4</v>
      </c>
      <c r="F95" s="9">
        <f>3198000/100000</f>
        <v>31.98</v>
      </c>
      <c r="G95" s="9">
        <f>3126000/100000</f>
        <v>31.26</v>
      </c>
      <c r="H95" s="9">
        <f>3246000/100000</f>
        <v>32.46</v>
      </c>
      <c r="I95" s="9">
        <f>4900000/100000</f>
        <v>49</v>
      </c>
      <c r="J95" s="9">
        <f>1955000/100000</f>
        <v>19.55</v>
      </c>
      <c r="K95" s="9">
        <f>1920000/100000</f>
        <v>19.2</v>
      </c>
    </row>
    <row r="96" spans="1:11" ht="15">
      <c r="A96" s="6">
        <v>40193.625</v>
      </c>
      <c r="B96" s="9">
        <f>27000000/100000</f>
        <v>270</v>
      </c>
      <c r="C96" s="9">
        <f t="shared" si="6"/>
        <v>0</v>
      </c>
      <c r="D96" s="9">
        <f>430000/100000</f>
        <v>4.3</v>
      </c>
      <c r="E96" s="9">
        <f>480000/100000</f>
        <v>4.8</v>
      </c>
      <c r="F96" s="9">
        <f>3195000/100000</f>
        <v>31.95</v>
      </c>
      <c r="G96" s="9">
        <f>3138000/100000</f>
        <v>31.38</v>
      </c>
      <c r="H96" s="9">
        <f>3237000/100000</f>
        <v>32.37</v>
      </c>
      <c r="I96" s="9">
        <f>4900000/100000</f>
        <v>49</v>
      </c>
      <c r="J96" s="9">
        <f>1955000/100000</f>
        <v>19.55</v>
      </c>
      <c r="K96" s="9">
        <f>1900000/100000</f>
        <v>19</v>
      </c>
    </row>
    <row r="97" spans="1:11" ht="15">
      <c r="A97" s="6">
        <v>40193.666666666664</v>
      </c>
      <c r="B97" s="9">
        <f>18600000/100000</f>
        <v>186</v>
      </c>
      <c r="C97" s="9">
        <f t="shared" si="6"/>
        <v>0</v>
      </c>
      <c r="D97" s="9">
        <f>420000/100000</f>
        <v>4.2</v>
      </c>
      <c r="E97" s="9">
        <f>520000/100000</f>
        <v>5.2</v>
      </c>
      <c r="F97" s="9">
        <f>3089000/100000</f>
        <v>30.89</v>
      </c>
      <c r="G97" s="9">
        <f>3037000/100000</f>
        <v>30.37</v>
      </c>
      <c r="H97" s="9">
        <f>3158000/100000</f>
        <v>31.58</v>
      </c>
      <c r="I97" s="9">
        <f>5400000/100000</f>
        <v>54</v>
      </c>
      <c r="J97" s="9">
        <f>2010000/100000</f>
        <v>20.1</v>
      </c>
      <c r="K97" s="9">
        <f>1960000/100000</f>
        <v>19.6</v>
      </c>
    </row>
    <row r="98" spans="1:11" ht="15">
      <c r="A98" s="6">
        <v>40193.708333333336</v>
      </c>
      <c r="B98" s="9">
        <f>9300000/100000</f>
        <v>93</v>
      </c>
      <c r="C98" s="9">
        <f t="shared" si="6"/>
        <v>0</v>
      </c>
      <c r="D98" s="9">
        <f>325000/100000</f>
        <v>3.25</v>
      </c>
      <c r="E98" s="9">
        <f>400000/100000</f>
        <v>4</v>
      </c>
      <c r="F98" s="9">
        <f>2952000/100000</f>
        <v>29.52</v>
      </c>
      <c r="G98" s="9">
        <f>2857000/100000</f>
        <v>28.57</v>
      </c>
      <c r="H98" s="9">
        <f>3031000/100000</f>
        <v>30.31</v>
      </c>
      <c r="I98" s="9">
        <f>5700000/100000</f>
        <v>57</v>
      </c>
      <c r="J98" s="9">
        <f>1995000/100000</f>
        <v>19.95</v>
      </c>
      <c r="K98" s="9">
        <f>1960000/100000</f>
        <v>19.6</v>
      </c>
    </row>
    <row r="99" spans="1:11" ht="15">
      <c r="A99" s="6">
        <v>40193.75</v>
      </c>
      <c r="B99" s="9">
        <f>900000/100000</f>
        <v>9</v>
      </c>
      <c r="C99" s="9">
        <f t="shared" si="6"/>
        <v>0</v>
      </c>
      <c r="D99" s="9">
        <f>340000/100000</f>
        <v>3.4</v>
      </c>
      <c r="E99" s="9">
        <f>380000/100000</f>
        <v>3.8</v>
      </c>
      <c r="F99" s="9">
        <f>2739000/100000</f>
        <v>27.39</v>
      </c>
      <c r="G99" s="9">
        <f>2661000/100000</f>
        <v>26.61</v>
      </c>
      <c r="H99" s="9">
        <f>2830000/100000</f>
        <v>28.3</v>
      </c>
      <c r="I99" s="9">
        <f>6700000/100000</f>
        <v>67</v>
      </c>
      <c r="J99" s="9">
        <f>2060000/100000</f>
        <v>20.6</v>
      </c>
      <c r="K99" s="9">
        <f>2030000/100000</f>
        <v>20.3</v>
      </c>
    </row>
    <row r="100" spans="1:11" ht="15">
      <c r="A100" s="6">
        <v>40193.791666666664</v>
      </c>
      <c r="B100" s="9">
        <f aca="true" t="shared" si="7" ref="B100:B110">0/100000</f>
        <v>0</v>
      </c>
      <c r="C100" s="9">
        <f t="shared" si="6"/>
        <v>0</v>
      </c>
      <c r="D100" s="9">
        <f>265000/100000</f>
        <v>2.65</v>
      </c>
      <c r="E100" s="9">
        <f>350000/100000</f>
        <v>3.5</v>
      </c>
      <c r="F100" s="9">
        <f>2593000/100000</f>
        <v>25.93</v>
      </c>
      <c r="G100" s="9">
        <f>2541000/100000</f>
        <v>25.41</v>
      </c>
      <c r="H100" s="9">
        <f>2657000/100000</f>
        <v>26.57</v>
      </c>
      <c r="I100" s="9">
        <f>7600000/100000</f>
        <v>76</v>
      </c>
      <c r="J100" s="9">
        <f>2105000/100000</f>
        <v>21.05</v>
      </c>
      <c r="K100" s="9">
        <f>2080000/100000</f>
        <v>20.8</v>
      </c>
    </row>
    <row r="101" spans="1:11" ht="15">
      <c r="A101" s="6">
        <v>40202.833333333336</v>
      </c>
      <c r="B101" s="9">
        <f t="shared" si="7"/>
        <v>0</v>
      </c>
      <c r="C101" s="9">
        <f t="shared" si="6"/>
        <v>0</v>
      </c>
      <c r="D101" s="9">
        <f>290000/100000</f>
        <v>2.9</v>
      </c>
      <c r="E101" s="9">
        <f>380000/100000</f>
        <v>3.8</v>
      </c>
      <c r="F101" s="9">
        <f>2531000/100000</f>
        <v>25.31</v>
      </c>
      <c r="G101" s="9">
        <f>2506000/100000</f>
        <v>25.06</v>
      </c>
      <c r="H101" s="9">
        <f>2566000/100000</f>
        <v>25.66</v>
      </c>
      <c r="I101" s="9">
        <f>8200000/100000</f>
        <v>82</v>
      </c>
      <c r="J101" s="9">
        <f>2175000/100000</f>
        <v>21.75</v>
      </c>
      <c r="K101" s="9">
        <f>2150000/100000</f>
        <v>21.5</v>
      </c>
    </row>
    <row r="102" spans="1:11" ht="15">
      <c r="A102" s="6">
        <v>40202.875</v>
      </c>
      <c r="B102" s="9">
        <f t="shared" si="7"/>
        <v>0</v>
      </c>
      <c r="C102" s="9">
        <f t="shared" si="6"/>
        <v>0</v>
      </c>
      <c r="D102" s="9">
        <f>185000/100000</f>
        <v>1.85</v>
      </c>
      <c r="E102" s="9">
        <f>270000/100000</f>
        <v>2.7</v>
      </c>
      <c r="F102" s="9">
        <f>2478000/100000</f>
        <v>24.78</v>
      </c>
      <c r="G102" s="9">
        <f>2458000/100000</f>
        <v>24.58</v>
      </c>
      <c r="H102" s="9">
        <f>2507000/100000</f>
        <v>25.07</v>
      </c>
      <c r="I102" s="9">
        <f>8600000/100000</f>
        <v>86</v>
      </c>
      <c r="J102" s="9">
        <f>2210000/100000</f>
        <v>22.1</v>
      </c>
      <c r="K102" s="9">
        <f>2200000/100000</f>
        <v>22</v>
      </c>
    </row>
    <row r="103" spans="1:11" ht="15">
      <c r="A103" s="6">
        <v>40202.916666666664</v>
      </c>
      <c r="B103" s="9">
        <f t="shared" si="7"/>
        <v>0</v>
      </c>
      <c r="C103" s="9">
        <f t="shared" si="6"/>
        <v>0</v>
      </c>
      <c r="D103" s="9">
        <f>160000/100000</f>
        <v>1.6</v>
      </c>
      <c r="E103" s="9">
        <f>200000/100000</f>
        <v>2</v>
      </c>
      <c r="F103" s="9">
        <f>2440000/100000</f>
        <v>24.4</v>
      </c>
      <c r="G103" s="9">
        <f>2417000/100000</f>
        <v>24.17</v>
      </c>
      <c r="H103" s="9">
        <f>2465000/100000</f>
        <v>24.65</v>
      </c>
      <c r="I103" s="9">
        <f>8800000/100000</f>
        <v>88</v>
      </c>
      <c r="J103" s="9">
        <f>2210000/100000</f>
        <v>22.1</v>
      </c>
      <c r="K103" s="9">
        <f>2200000/100000</f>
        <v>22</v>
      </c>
    </row>
    <row r="104" spans="1:11" ht="15">
      <c r="A104" s="6">
        <v>40202.958333333336</v>
      </c>
      <c r="B104" s="9">
        <f t="shared" si="7"/>
        <v>0</v>
      </c>
      <c r="C104" s="9">
        <f t="shared" si="6"/>
        <v>0</v>
      </c>
      <c r="D104" s="9">
        <f>90000/100000</f>
        <v>0.9</v>
      </c>
      <c r="E104" s="9">
        <f>120000/100000</f>
        <v>1.2</v>
      </c>
      <c r="F104" s="9">
        <f>2384000/100000</f>
        <v>23.84</v>
      </c>
      <c r="G104" s="9">
        <f>2352000/100000</f>
        <v>23.52</v>
      </c>
      <c r="H104" s="9">
        <f>2429000/100000</f>
        <v>24.29</v>
      </c>
      <c r="I104" s="9">
        <f>9000000/100000</f>
        <v>90</v>
      </c>
      <c r="J104" s="9">
        <f>2190000/100000</f>
        <v>21.9</v>
      </c>
      <c r="K104" s="9">
        <f>2180000/100000</f>
        <v>21.8</v>
      </c>
    </row>
    <row r="105" spans="1:11" ht="15">
      <c r="A105" s="6">
        <v>40203</v>
      </c>
      <c r="B105" s="9">
        <f t="shared" si="7"/>
        <v>0</v>
      </c>
      <c r="C105" s="9">
        <f t="shared" si="6"/>
        <v>0</v>
      </c>
      <c r="D105" s="9">
        <f>15000/100000</f>
        <v>0.15</v>
      </c>
      <c r="E105" s="9">
        <f>60000/100000</f>
        <v>0.6</v>
      </c>
      <c r="F105" s="9">
        <f>2348000/100000</f>
        <v>23.48</v>
      </c>
      <c r="G105" s="9">
        <f>2331000/100000</f>
        <v>23.31</v>
      </c>
      <c r="H105" s="9">
        <f>2366000/100000</f>
        <v>23.66</v>
      </c>
      <c r="I105" s="9">
        <f>9200000/100000</f>
        <v>92</v>
      </c>
      <c r="J105" s="9">
        <f>2180000/100000</f>
        <v>21.8</v>
      </c>
      <c r="K105" s="9">
        <f>2170000/100000</f>
        <v>21.7</v>
      </c>
    </row>
    <row r="106" spans="1:11" ht="15">
      <c r="A106" s="6">
        <v>40203.041666666664</v>
      </c>
      <c r="B106" s="9">
        <f t="shared" si="7"/>
        <v>0</v>
      </c>
      <c r="C106" s="9">
        <f t="shared" si="6"/>
        <v>0</v>
      </c>
      <c r="D106" s="9">
        <f>10000/100000</f>
        <v>0.1</v>
      </c>
      <c r="E106" s="9">
        <f>70000/100000</f>
        <v>0.7</v>
      </c>
      <c r="F106" s="9">
        <f>2341000/100000</f>
        <v>23.41</v>
      </c>
      <c r="G106" s="9">
        <f>2324000/100000</f>
        <v>23.24</v>
      </c>
      <c r="H106" s="9">
        <f>2357000/100000</f>
        <v>23.57</v>
      </c>
      <c r="I106" s="9">
        <f>9200000/100000</f>
        <v>92</v>
      </c>
      <c r="J106" s="9">
        <f>2190000/100000</f>
        <v>21.9</v>
      </c>
      <c r="K106" s="9">
        <f>2180000/100000</f>
        <v>21.8</v>
      </c>
    </row>
    <row r="107" spans="1:11" ht="15">
      <c r="A107" s="6">
        <v>40203.083333333336</v>
      </c>
      <c r="B107" s="9">
        <f t="shared" si="7"/>
        <v>0</v>
      </c>
      <c r="C107" s="9">
        <f t="shared" si="6"/>
        <v>0</v>
      </c>
      <c r="D107" s="9">
        <f>0/100000</f>
        <v>0</v>
      </c>
      <c r="E107" s="9">
        <f>50000/100000</f>
        <v>0.5</v>
      </c>
      <c r="F107" s="9">
        <f>2368000/100000</f>
        <v>23.68</v>
      </c>
      <c r="G107" s="9">
        <f>2362000/100000</f>
        <v>23.62</v>
      </c>
      <c r="H107" s="9">
        <f>2375000/100000</f>
        <v>23.75</v>
      </c>
      <c r="I107" s="9">
        <f>9200000/100000</f>
        <v>92</v>
      </c>
      <c r="J107" s="9">
        <f>2200000/100000</f>
        <v>22</v>
      </c>
      <c r="K107" s="9">
        <f>2200000/100000</f>
        <v>22</v>
      </c>
    </row>
    <row r="108" spans="1:11" ht="15">
      <c r="A108" s="6">
        <v>40203.125</v>
      </c>
      <c r="B108" s="9">
        <f t="shared" si="7"/>
        <v>0</v>
      </c>
      <c r="C108" s="9">
        <f>160000/100000</f>
        <v>1.6</v>
      </c>
      <c r="D108" s="9">
        <f>60000/100000</f>
        <v>0.6</v>
      </c>
      <c r="E108" s="9">
        <f>260000/100000</f>
        <v>2.6</v>
      </c>
      <c r="F108" s="9">
        <f>2232000/100000</f>
        <v>22.32</v>
      </c>
      <c r="G108" s="9">
        <f>2167000/100000</f>
        <v>21.67</v>
      </c>
      <c r="H108" s="9">
        <f>2364000/100000</f>
        <v>23.64</v>
      </c>
      <c r="I108" s="9">
        <f>9300000/100000</f>
        <v>93</v>
      </c>
      <c r="J108" s="9">
        <f>2100000/100000</f>
        <v>21</v>
      </c>
      <c r="K108" s="9">
        <f>2040000/100000</f>
        <v>20.4</v>
      </c>
    </row>
    <row r="109" spans="1:11" ht="15">
      <c r="A109" s="6">
        <v>40203.166666666664</v>
      </c>
      <c r="B109" s="9">
        <f t="shared" si="7"/>
        <v>0</v>
      </c>
      <c r="C109" s="9">
        <f>0/100000</f>
        <v>0</v>
      </c>
      <c r="D109" s="9">
        <f>0/100000</f>
        <v>0</v>
      </c>
      <c r="E109" s="9">
        <f>0/100000</f>
        <v>0</v>
      </c>
      <c r="F109" s="9">
        <f>2157000/100000</f>
        <v>21.57</v>
      </c>
      <c r="G109" s="9">
        <f>2146000/100000</f>
        <v>21.46</v>
      </c>
      <c r="H109" s="9">
        <f>2172000/100000</f>
        <v>21.72</v>
      </c>
      <c r="I109" s="9">
        <f>9500000/100000</f>
        <v>95</v>
      </c>
      <c r="J109" s="9">
        <f>2050000/100000</f>
        <v>20.5</v>
      </c>
      <c r="K109" s="9">
        <f>2040000/100000</f>
        <v>20.4</v>
      </c>
    </row>
    <row r="110" spans="1:11" ht="15">
      <c r="A110" s="6">
        <v>40203.208333333336</v>
      </c>
      <c r="B110" s="9">
        <f t="shared" si="7"/>
        <v>0</v>
      </c>
      <c r="C110" s="9">
        <f aca="true" t="shared" si="8" ref="C110:C134">0/100000</f>
        <v>0</v>
      </c>
      <c r="D110" s="9">
        <f>25000/100000</f>
        <v>0.25</v>
      </c>
      <c r="E110" s="9">
        <f>120000/100000</f>
        <v>1.2</v>
      </c>
      <c r="F110" s="9">
        <f>2159000/100000</f>
        <v>21.59</v>
      </c>
      <c r="G110" s="9">
        <f>2128000/100000</f>
        <v>21.28</v>
      </c>
      <c r="H110" s="9">
        <f>2185000/100000</f>
        <v>21.85</v>
      </c>
      <c r="I110" s="9">
        <f>9600000/100000</f>
        <v>96</v>
      </c>
      <c r="J110" s="9">
        <f>2075000/100000</f>
        <v>20.75</v>
      </c>
      <c r="K110" s="9">
        <f>2050000/100000</f>
        <v>20.5</v>
      </c>
    </row>
    <row r="111" spans="1:11" ht="15">
      <c r="A111" s="6">
        <v>40203.25</v>
      </c>
      <c r="B111" s="9">
        <f>700000/100000</f>
        <v>7</v>
      </c>
      <c r="C111" s="9">
        <f t="shared" si="8"/>
        <v>0</v>
      </c>
      <c r="D111" s="9">
        <f>75000/100000</f>
        <v>0.75</v>
      </c>
      <c r="E111" s="9">
        <f>170000/100000</f>
        <v>1.7</v>
      </c>
      <c r="F111" s="9">
        <f>2186000/100000</f>
        <v>21.86</v>
      </c>
      <c r="G111" s="9">
        <f>2132000/100000</f>
        <v>21.32</v>
      </c>
      <c r="H111" s="9">
        <f>2272000/100000</f>
        <v>22.72</v>
      </c>
      <c r="I111" s="9">
        <f>9600000/100000</f>
        <v>96</v>
      </c>
      <c r="J111" s="9">
        <f>2105000/100000</f>
        <v>21.05</v>
      </c>
      <c r="K111" s="9">
        <f>2060000/100000</f>
        <v>20.6</v>
      </c>
    </row>
    <row r="112" spans="1:11" ht="15">
      <c r="A112" s="6">
        <v>40203.291666666664</v>
      </c>
      <c r="B112" s="9">
        <f>2100000/100000</f>
        <v>21</v>
      </c>
      <c r="C112" s="9">
        <f t="shared" si="8"/>
        <v>0</v>
      </c>
      <c r="D112" s="9">
        <f>165000/100000</f>
        <v>1.65</v>
      </c>
      <c r="E112" s="9">
        <f>260000/100000</f>
        <v>2.6</v>
      </c>
      <c r="F112" s="9">
        <f>2418000/100000</f>
        <v>24.18</v>
      </c>
      <c r="G112" s="9">
        <f>2305000/100000</f>
        <v>23.05</v>
      </c>
      <c r="H112" s="9">
        <f>2553000/100000</f>
        <v>25.53</v>
      </c>
      <c r="I112" s="9">
        <f>9000000/100000</f>
        <v>90</v>
      </c>
      <c r="J112" s="9">
        <f>2230000/100000</f>
        <v>22.3</v>
      </c>
      <c r="K112" s="9">
        <f>2210000/100000</f>
        <v>22.1</v>
      </c>
    </row>
    <row r="113" spans="1:11" ht="15">
      <c r="A113" s="6">
        <v>40203.333333333336</v>
      </c>
      <c r="B113" s="9">
        <f>7100000/100000</f>
        <v>71</v>
      </c>
      <c r="C113" s="9">
        <f t="shared" si="8"/>
        <v>0</v>
      </c>
      <c r="D113" s="9">
        <f>270000/100000</f>
        <v>2.7</v>
      </c>
      <c r="E113" s="9">
        <f>360000/100000</f>
        <v>3.6</v>
      </c>
      <c r="F113" s="9">
        <f>2609000/100000</f>
        <v>26.09</v>
      </c>
      <c r="G113" s="9">
        <f>2584000/100000</f>
        <v>25.84</v>
      </c>
      <c r="H113" s="9">
        <f>2682000/100000</f>
        <v>26.82</v>
      </c>
      <c r="I113" s="9">
        <f>7700000/100000</f>
        <v>77</v>
      </c>
      <c r="J113" s="9">
        <f>2160000/100000</f>
        <v>21.6</v>
      </c>
      <c r="K113" s="9">
        <f>2120000/100000</f>
        <v>21.2</v>
      </c>
    </row>
    <row r="114" spans="1:11" ht="15">
      <c r="A114" s="6">
        <v>40203.375</v>
      </c>
      <c r="B114" s="9">
        <f>26400000/100000</f>
        <v>264</v>
      </c>
      <c r="C114" s="9">
        <f t="shared" si="8"/>
        <v>0</v>
      </c>
      <c r="D114" s="9">
        <f>290000/100000</f>
        <v>2.9</v>
      </c>
      <c r="E114" s="9">
        <f>360000/100000</f>
        <v>3.6</v>
      </c>
      <c r="F114" s="9">
        <f>2772000/100000</f>
        <v>27.72</v>
      </c>
      <c r="G114" s="9">
        <f>2678000/100000</f>
        <v>26.78</v>
      </c>
      <c r="H114" s="9">
        <f>2881000/100000</f>
        <v>28.81</v>
      </c>
      <c r="I114" s="9">
        <f>6600000/100000</f>
        <v>66</v>
      </c>
      <c r="J114" s="9">
        <f>2055000/100000</f>
        <v>20.55</v>
      </c>
      <c r="K114" s="9">
        <f>1960000/100000</f>
        <v>19.6</v>
      </c>
    </row>
    <row r="115" spans="1:11" ht="15">
      <c r="A115" s="6">
        <v>40203.416666666664</v>
      </c>
      <c r="B115" s="9">
        <f>35300000/100000</f>
        <v>353</v>
      </c>
      <c r="C115" s="9">
        <f t="shared" si="8"/>
        <v>0</v>
      </c>
      <c r="D115" s="9">
        <f>285000/100000</f>
        <v>2.85</v>
      </c>
      <c r="E115" s="9">
        <f>370000/100000</f>
        <v>3.7</v>
      </c>
      <c r="F115" s="9">
        <f>2939000/100000</f>
        <v>29.39</v>
      </c>
      <c r="G115" s="9">
        <f>2878000/100000</f>
        <v>28.78</v>
      </c>
      <c r="H115" s="9">
        <f>3059000/100000</f>
        <v>30.59</v>
      </c>
      <c r="I115" s="9">
        <f>5500000/100000</f>
        <v>55</v>
      </c>
      <c r="J115" s="9">
        <f>1910000/100000</f>
        <v>19.1</v>
      </c>
      <c r="K115" s="9">
        <f>1730000/100000</f>
        <v>17.3</v>
      </c>
    </row>
    <row r="116" spans="1:11" ht="15">
      <c r="A116" s="6">
        <v>40203.458333333336</v>
      </c>
      <c r="B116" s="9">
        <f>37300000/100000</f>
        <v>373</v>
      </c>
      <c r="C116" s="9">
        <f t="shared" si="8"/>
        <v>0</v>
      </c>
      <c r="D116" s="9">
        <f>325000/100000</f>
        <v>3.25</v>
      </c>
      <c r="E116" s="9">
        <f>440000/100000</f>
        <v>4.4</v>
      </c>
      <c r="F116" s="9">
        <f>3054000/100000</f>
        <v>30.54</v>
      </c>
      <c r="G116" s="9">
        <f>3007000/100000</f>
        <v>30.07</v>
      </c>
      <c r="H116" s="9">
        <f>3107000/100000</f>
        <v>31.07</v>
      </c>
      <c r="I116" s="9">
        <f>5000000/100000</f>
        <v>50</v>
      </c>
      <c r="J116" s="9">
        <f>1865000/100000</f>
        <v>18.65</v>
      </c>
      <c r="K116" s="9">
        <f>1770000/100000</f>
        <v>17.7</v>
      </c>
    </row>
    <row r="117" spans="1:11" ht="15">
      <c r="A117" s="6">
        <v>40203.5</v>
      </c>
      <c r="B117" s="9">
        <f>42300000/100000</f>
        <v>423</v>
      </c>
      <c r="C117" s="9">
        <f t="shared" si="8"/>
        <v>0</v>
      </c>
      <c r="D117" s="9">
        <f>320000/100000</f>
        <v>3.2</v>
      </c>
      <c r="E117" s="9">
        <f>410000/100000</f>
        <v>4.1</v>
      </c>
      <c r="F117" s="9">
        <f>3132000/100000</f>
        <v>31.32</v>
      </c>
      <c r="G117" s="9">
        <f>3069000/100000</f>
        <v>30.69</v>
      </c>
      <c r="H117" s="9">
        <f>3182000/100000</f>
        <v>31.82</v>
      </c>
      <c r="I117" s="9">
        <f>4300000/100000</f>
        <v>43</v>
      </c>
      <c r="J117" s="9">
        <f>1700000/100000</f>
        <v>17</v>
      </c>
      <c r="K117" s="9">
        <f>1530000/100000</f>
        <v>15.3</v>
      </c>
    </row>
    <row r="118" spans="1:11" ht="15">
      <c r="A118" s="6">
        <v>40203.541666666664</v>
      </c>
      <c r="B118" s="9">
        <f>40600000/100000</f>
        <v>406</v>
      </c>
      <c r="C118" s="9">
        <f t="shared" si="8"/>
        <v>0</v>
      </c>
      <c r="D118" s="9">
        <f>355000/100000</f>
        <v>3.55</v>
      </c>
      <c r="E118" s="9">
        <f>470000/100000</f>
        <v>4.7</v>
      </c>
      <c r="F118" s="9">
        <f>3167000/100000</f>
        <v>31.67</v>
      </c>
      <c r="G118" s="9">
        <f>3100000/100000</f>
        <v>31</v>
      </c>
      <c r="H118" s="9">
        <f>3239000/100000</f>
        <v>32.39</v>
      </c>
      <c r="I118" s="9">
        <f>4000000/100000</f>
        <v>40</v>
      </c>
      <c r="J118" s="9">
        <f>1615000/100000</f>
        <v>16.15</v>
      </c>
      <c r="K118" s="9">
        <f>1530000/100000</f>
        <v>15.3</v>
      </c>
    </row>
    <row r="119" spans="1:11" ht="15">
      <c r="A119" s="6">
        <v>40203.583333333336</v>
      </c>
      <c r="B119" s="9">
        <f>35200000/100000</f>
        <v>352</v>
      </c>
      <c r="C119" s="9">
        <f t="shared" si="8"/>
        <v>0</v>
      </c>
      <c r="D119" s="9">
        <f>400000/100000</f>
        <v>4</v>
      </c>
      <c r="E119" s="9">
        <f>490000/100000</f>
        <v>4.9</v>
      </c>
      <c r="F119" s="9">
        <f>3191000/100000</f>
        <v>31.91</v>
      </c>
      <c r="G119" s="9">
        <f>3145000/100000</f>
        <v>31.45</v>
      </c>
      <c r="H119" s="9">
        <f>3227000/100000</f>
        <v>32.27</v>
      </c>
      <c r="I119" s="9">
        <f>3900000/100000</f>
        <v>39</v>
      </c>
      <c r="J119" s="9">
        <f>1595000/100000</f>
        <v>15.95</v>
      </c>
      <c r="K119" s="9">
        <f>1410000/100000</f>
        <v>14.1</v>
      </c>
    </row>
    <row r="120" spans="1:11" ht="15">
      <c r="A120" s="6">
        <v>40203.625</v>
      </c>
      <c r="B120" s="9">
        <f>24900000/100000</f>
        <v>249</v>
      </c>
      <c r="C120" s="9">
        <f t="shared" si="8"/>
        <v>0</v>
      </c>
      <c r="D120" s="9">
        <f>390000/100000</f>
        <v>3.9</v>
      </c>
      <c r="E120" s="9">
        <f>470000/100000</f>
        <v>4.7</v>
      </c>
      <c r="F120" s="9">
        <f>3112000/100000</f>
        <v>31.12</v>
      </c>
      <c r="G120" s="9">
        <f>3057000/100000</f>
        <v>30.57</v>
      </c>
      <c r="H120" s="9">
        <f>3196000/100000</f>
        <v>31.96</v>
      </c>
      <c r="I120" s="9">
        <f>4500000/100000</f>
        <v>45</v>
      </c>
      <c r="J120" s="9">
        <f>1740000/100000</f>
        <v>17.4</v>
      </c>
      <c r="K120" s="9">
        <f>1620000/100000</f>
        <v>16.2</v>
      </c>
    </row>
    <row r="121" spans="1:11" ht="15">
      <c r="A121" s="6">
        <v>40203.666666666664</v>
      </c>
      <c r="B121" s="9">
        <f>18600000/100000</f>
        <v>186</v>
      </c>
      <c r="C121" s="9">
        <f t="shared" si="8"/>
        <v>0</v>
      </c>
      <c r="D121" s="9">
        <f>400000/100000</f>
        <v>4</v>
      </c>
      <c r="E121" s="9">
        <f>470000/100000</f>
        <v>4.7</v>
      </c>
      <c r="F121" s="9">
        <f>3029000/100000</f>
        <v>30.29</v>
      </c>
      <c r="G121" s="9">
        <f>2967000/100000</f>
        <v>29.67</v>
      </c>
      <c r="H121" s="9">
        <f>3079000/100000</f>
        <v>30.79</v>
      </c>
      <c r="I121" s="9">
        <f>4800000/100000</f>
        <v>48</v>
      </c>
      <c r="J121" s="9">
        <f>1795000/100000</f>
        <v>17.95</v>
      </c>
      <c r="K121" s="9">
        <f>1710000/100000</f>
        <v>17.1</v>
      </c>
    </row>
    <row r="122" spans="1:11" ht="15">
      <c r="A122" s="6">
        <v>40203.708333333336</v>
      </c>
      <c r="B122" s="9">
        <f>10000000/100000</f>
        <v>100</v>
      </c>
      <c r="C122" s="9">
        <f t="shared" si="8"/>
        <v>0</v>
      </c>
      <c r="D122" s="9">
        <f>365000/100000</f>
        <v>3.65</v>
      </c>
      <c r="E122" s="9">
        <f>500000/100000</f>
        <v>5</v>
      </c>
      <c r="F122" s="9">
        <f>2893000/100000</f>
        <v>28.93</v>
      </c>
      <c r="G122" s="9">
        <f>2820000/100000</f>
        <v>28.2</v>
      </c>
      <c r="H122" s="9">
        <f>2957000/100000</f>
        <v>29.57</v>
      </c>
      <c r="I122" s="9">
        <f>5400000/100000</f>
        <v>54</v>
      </c>
      <c r="J122" s="9">
        <f>1850000/100000</f>
        <v>18.5</v>
      </c>
      <c r="K122" s="9">
        <f>1810000/100000</f>
        <v>18.1</v>
      </c>
    </row>
    <row r="123" spans="1:11" ht="15">
      <c r="A123" s="6">
        <v>40203.75</v>
      </c>
      <c r="B123" s="9">
        <f>1100000/100000</f>
        <v>11</v>
      </c>
      <c r="C123" s="9">
        <f t="shared" si="8"/>
        <v>0</v>
      </c>
      <c r="D123" s="9">
        <f>310000/100000</f>
        <v>3.1</v>
      </c>
      <c r="E123" s="9">
        <f>350000/100000</f>
        <v>3.5</v>
      </c>
      <c r="F123" s="9">
        <f>2680000/100000</f>
        <v>26.8</v>
      </c>
      <c r="G123" s="9">
        <f>2597000/100000</f>
        <v>25.97</v>
      </c>
      <c r="H123" s="9">
        <f>2810000/100000</f>
        <v>28.1</v>
      </c>
      <c r="I123" s="9">
        <f>6700000/100000</f>
        <v>67</v>
      </c>
      <c r="J123" s="9">
        <f>1990000/100000</f>
        <v>19.9</v>
      </c>
      <c r="K123" s="9">
        <f>1960000/100000</f>
        <v>19.6</v>
      </c>
    </row>
    <row r="124" spans="1:11" ht="15">
      <c r="A124" s="6">
        <v>40203.791666666664</v>
      </c>
      <c r="B124" s="9">
        <f aca="true" t="shared" si="9" ref="B124:B134">0/100000</f>
        <v>0</v>
      </c>
      <c r="C124" s="9">
        <f t="shared" si="8"/>
        <v>0</v>
      </c>
      <c r="D124" s="9">
        <f>270000/100000</f>
        <v>2.7</v>
      </c>
      <c r="E124" s="9">
        <f>340000/100000</f>
        <v>3.4</v>
      </c>
      <c r="F124" s="9">
        <f>2546000/100000</f>
        <v>25.46</v>
      </c>
      <c r="G124" s="9">
        <f>2494000/100000</f>
        <v>24.94</v>
      </c>
      <c r="H124" s="9">
        <f>2594000/100000</f>
        <v>25.94</v>
      </c>
      <c r="I124" s="9">
        <f>7300000/100000</f>
        <v>73</v>
      </c>
      <c r="J124" s="9">
        <f>2005000/100000</f>
        <v>20.05</v>
      </c>
      <c r="K124" s="9">
        <f>1980000/100000</f>
        <v>19.8</v>
      </c>
    </row>
    <row r="125" spans="1:11" ht="15">
      <c r="A125" s="6">
        <v>40203.833333333336</v>
      </c>
      <c r="B125" s="9">
        <f t="shared" si="9"/>
        <v>0</v>
      </c>
      <c r="C125" s="9">
        <f t="shared" si="8"/>
        <v>0</v>
      </c>
      <c r="D125" s="9">
        <f>245000/100000</f>
        <v>2.45</v>
      </c>
      <c r="E125" s="9">
        <f>340000/100000</f>
        <v>3.4</v>
      </c>
      <c r="F125" s="9">
        <f>2463000/100000</f>
        <v>24.63</v>
      </c>
      <c r="G125" s="9">
        <f>2412000/100000</f>
        <v>24.12</v>
      </c>
      <c r="H125" s="9">
        <f>2500000/100000</f>
        <v>25</v>
      </c>
      <c r="I125" s="9">
        <f>8000000/100000</f>
        <v>80</v>
      </c>
      <c r="J125" s="9">
        <f>2075000/100000</f>
        <v>20.75</v>
      </c>
      <c r="K125" s="9">
        <f>2060000/100000</f>
        <v>20.6</v>
      </c>
    </row>
    <row r="126" spans="1:11" ht="15">
      <c r="A126" s="6">
        <v>40203.875</v>
      </c>
      <c r="B126" s="9">
        <f t="shared" si="9"/>
        <v>0</v>
      </c>
      <c r="C126" s="9">
        <f t="shared" si="8"/>
        <v>0</v>
      </c>
      <c r="D126" s="9">
        <f>75000/100000</f>
        <v>0.75</v>
      </c>
      <c r="E126" s="9">
        <f>190000/100000</f>
        <v>1.9</v>
      </c>
      <c r="F126" s="9">
        <f>2400000/100000</f>
        <v>24</v>
      </c>
      <c r="G126" s="9">
        <f>2381000/100000</f>
        <v>23.81</v>
      </c>
      <c r="H126" s="9">
        <f>2429000/100000</f>
        <v>24.29</v>
      </c>
      <c r="I126" s="9">
        <f>8500000/100000</f>
        <v>85</v>
      </c>
      <c r="J126" s="9">
        <f>2105000/100000</f>
        <v>21.05</v>
      </c>
      <c r="K126" s="9">
        <f>2090000/100000</f>
        <v>20.9</v>
      </c>
    </row>
    <row r="127" spans="1:11" ht="15">
      <c r="A127" s="6">
        <v>40203.916666666664</v>
      </c>
      <c r="B127" s="9">
        <f t="shared" si="9"/>
        <v>0</v>
      </c>
      <c r="C127" s="9">
        <f t="shared" si="8"/>
        <v>0</v>
      </c>
      <c r="D127" s="9">
        <f>50000/100000</f>
        <v>0.5</v>
      </c>
      <c r="E127" s="9">
        <f>140000/100000</f>
        <v>1.4</v>
      </c>
      <c r="F127" s="9">
        <f>2368000/100000</f>
        <v>23.68</v>
      </c>
      <c r="G127" s="9">
        <f>2352000/100000</f>
        <v>23.52</v>
      </c>
      <c r="H127" s="9">
        <f>2391000/100000</f>
        <v>23.91</v>
      </c>
      <c r="I127" s="9">
        <f>8700000/100000</f>
        <v>87</v>
      </c>
      <c r="J127" s="9">
        <f>2115000/100000</f>
        <v>21.15</v>
      </c>
      <c r="K127" s="9">
        <f>2110000/100000</f>
        <v>21.1</v>
      </c>
    </row>
    <row r="128" spans="1:11" ht="15">
      <c r="A128" s="6">
        <v>40203.958333333336</v>
      </c>
      <c r="B128" s="9">
        <f t="shared" si="9"/>
        <v>0</v>
      </c>
      <c r="C128" s="9">
        <f t="shared" si="8"/>
        <v>0</v>
      </c>
      <c r="D128" s="9">
        <f>30000/100000</f>
        <v>0.3</v>
      </c>
      <c r="E128" s="9">
        <f>100000/100000</f>
        <v>1</v>
      </c>
      <c r="F128" s="9">
        <f>2345000/100000</f>
        <v>23.45</v>
      </c>
      <c r="G128" s="9">
        <f>2308000/100000</f>
        <v>23.08</v>
      </c>
      <c r="H128" s="9">
        <f>2373000/100000</f>
        <v>23.73</v>
      </c>
      <c r="I128" s="9">
        <f>8800000/100000</f>
        <v>88</v>
      </c>
      <c r="J128" s="9">
        <f>2120000/100000</f>
        <v>21.2</v>
      </c>
      <c r="K128" s="9">
        <f>2110000/100000</f>
        <v>21.1</v>
      </c>
    </row>
    <row r="129" spans="1:11" ht="15">
      <c r="A129" s="6">
        <v>40204</v>
      </c>
      <c r="B129" s="9">
        <f t="shared" si="9"/>
        <v>0</v>
      </c>
      <c r="C129" s="9">
        <f t="shared" si="8"/>
        <v>0</v>
      </c>
      <c r="D129" s="9">
        <f>0/100000</f>
        <v>0</v>
      </c>
      <c r="E129" s="9">
        <f>0/100000</f>
        <v>0</v>
      </c>
      <c r="F129" s="9">
        <f>2296000/100000</f>
        <v>22.96</v>
      </c>
      <c r="G129" s="9">
        <f>2283000/100000</f>
        <v>22.83</v>
      </c>
      <c r="H129" s="9">
        <f>2322000/100000</f>
        <v>23.22</v>
      </c>
      <c r="I129" s="9">
        <f>9100000/100000</f>
        <v>91</v>
      </c>
      <c r="J129" s="9">
        <f>2130000/100000</f>
        <v>21.3</v>
      </c>
      <c r="K129" s="9">
        <f>2120000/100000</f>
        <v>21.2</v>
      </c>
    </row>
    <row r="130" spans="1:11" ht="15">
      <c r="A130" s="6">
        <v>40204.041666666664</v>
      </c>
      <c r="B130" s="9">
        <f t="shared" si="9"/>
        <v>0</v>
      </c>
      <c r="C130" s="9">
        <f t="shared" si="8"/>
        <v>0</v>
      </c>
      <c r="D130" s="9">
        <f>0/100000</f>
        <v>0</v>
      </c>
      <c r="E130" s="9">
        <f>0/100000</f>
        <v>0</v>
      </c>
      <c r="F130" s="9">
        <f>2253000/100000</f>
        <v>22.53</v>
      </c>
      <c r="G130" s="9">
        <f>2235000/100000</f>
        <v>22.35</v>
      </c>
      <c r="H130" s="9">
        <f>2293000/100000</f>
        <v>22.93</v>
      </c>
      <c r="I130" s="9">
        <f>9300000/100000</f>
        <v>93</v>
      </c>
      <c r="J130" s="9">
        <f>2110000/100000</f>
        <v>21.1</v>
      </c>
      <c r="K130" s="9">
        <f>2100000/100000</f>
        <v>21</v>
      </c>
    </row>
    <row r="131" spans="1:11" ht="15">
      <c r="A131" s="6">
        <v>40204.083333333336</v>
      </c>
      <c r="B131" s="9">
        <f t="shared" si="9"/>
        <v>0</v>
      </c>
      <c r="C131" s="9">
        <f t="shared" si="8"/>
        <v>0</v>
      </c>
      <c r="D131" s="9">
        <f>5000/100000</f>
        <v>0.05</v>
      </c>
      <c r="E131" s="9">
        <f>20000/100000</f>
        <v>0.2</v>
      </c>
      <c r="F131" s="9">
        <f>2248000/100000</f>
        <v>22.48</v>
      </c>
      <c r="G131" s="9">
        <f>2228000/100000</f>
        <v>22.28</v>
      </c>
      <c r="H131" s="9">
        <f>2267000/100000</f>
        <v>22.67</v>
      </c>
      <c r="I131" s="9">
        <f>9400000/100000</f>
        <v>94</v>
      </c>
      <c r="J131" s="9">
        <f>2140000/100000</f>
        <v>21.4</v>
      </c>
      <c r="K131" s="9">
        <f>2120000/100000</f>
        <v>21.2</v>
      </c>
    </row>
    <row r="132" spans="1:11" ht="15">
      <c r="A132" s="6">
        <v>40204.125</v>
      </c>
      <c r="B132" s="9">
        <f t="shared" si="9"/>
        <v>0</v>
      </c>
      <c r="C132" s="9">
        <f t="shared" si="8"/>
        <v>0</v>
      </c>
      <c r="D132" s="9">
        <f>25000/100000</f>
        <v>0.25</v>
      </c>
      <c r="E132" s="9">
        <f>110000/100000</f>
        <v>1.1</v>
      </c>
      <c r="F132" s="9">
        <f>2243000/100000</f>
        <v>22.43</v>
      </c>
      <c r="G132" s="9">
        <f>2228000/100000</f>
        <v>22.28</v>
      </c>
      <c r="H132" s="9">
        <f>2258000/100000</f>
        <v>22.58</v>
      </c>
      <c r="I132" s="9">
        <f>9300000/100000</f>
        <v>93</v>
      </c>
      <c r="J132" s="9">
        <f>2115000/100000</f>
        <v>21.15</v>
      </c>
      <c r="K132" s="9">
        <f>2100000/100000</f>
        <v>21</v>
      </c>
    </row>
    <row r="133" spans="1:11" ht="15">
      <c r="A133" s="6">
        <v>40204.166666666664</v>
      </c>
      <c r="B133" s="9">
        <f t="shared" si="9"/>
        <v>0</v>
      </c>
      <c r="C133" s="9">
        <f t="shared" si="8"/>
        <v>0</v>
      </c>
      <c r="D133" s="9">
        <f>5000/100000</f>
        <v>0.05</v>
      </c>
      <c r="E133" s="9">
        <f>100000/100000</f>
        <v>1</v>
      </c>
      <c r="F133" s="9">
        <f>2232000/100000</f>
        <v>22.32</v>
      </c>
      <c r="G133" s="9">
        <f>2210000/100000</f>
        <v>22.1</v>
      </c>
      <c r="H133" s="9">
        <f>2258000/100000</f>
        <v>22.58</v>
      </c>
      <c r="I133" s="9">
        <f>9400000/100000</f>
        <v>94</v>
      </c>
      <c r="J133" s="9">
        <f>2100000/100000</f>
        <v>21</v>
      </c>
      <c r="K133" s="9">
        <f>2090000/100000</f>
        <v>20.9</v>
      </c>
    </row>
    <row r="134" spans="1:11" ht="15">
      <c r="A134" s="6">
        <v>40204.208333333336</v>
      </c>
      <c r="B134" s="9">
        <f t="shared" si="9"/>
        <v>0</v>
      </c>
      <c r="C134" s="9">
        <f t="shared" si="8"/>
        <v>0</v>
      </c>
      <c r="D134" s="9">
        <f>5000/100000</f>
        <v>0.05</v>
      </c>
      <c r="E134" s="9">
        <f>40000/100000</f>
        <v>0.4</v>
      </c>
      <c r="F134" s="9">
        <f>2240000/100000</f>
        <v>22.4</v>
      </c>
      <c r="G134" s="9">
        <f>2227000/100000</f>
        <v>22.27</v>
      </c>
      <c r="H134" s="9">
        <f>2255000/100000</f>
        <v>22.55</v>
      </c>
      <c r="I134" s="9">
        <f>9300000/100000</f>
        <v>93</v>
      </c>
      <c r="J134" s="9">
        <f>2105000/100000</f>
        <v>21.05</v>
      </c>
      <c r="K134" s="9">
        <f>2100000/100000</f>
        <v>21</v>
      </c>
    </row>
    <row r="135" spans="1:11" ht="15">
      <c r="A135" s="6">
        <v>40204.25</v>
      </c>
      <c r="B135" s="9">
        <f>2700000/100000</f>
        <v>27</v>
      </c>
      <c r="C135" s="9">
        <f>20000/100000</f>
        <v>0.2</v>
      </c>
      <c r="D135" s="9">
        <f>70000/100000</f>
        <v>0.7</v>
      </c>
      <c r="E135" s="9">
        <f>170000/100000</f>
        <v>1.7</v>
      </c>
      <c r="F135" s="9">
        <f>2274000/100000</f>
        <v>22.74</v>
      </c>
      <c r="G135" s="9">
        <f>2231000/100000</f>
        <v>22.31</v>
      </c>
      <c r="H135" s="9">
        <f>2311000/100000</f>
        <v>23.11</v>
      </c>
      <c r="I135" s="9">
        <f>9300000/100000</f>
        <v>93</v>
      </c>
      <c r="J135" s="9">
        <f>2135000/100000</f>
        <v>21.35</v>
      </c>
      <c r="K135" s="9">
        <f>2090000/100000</f>
        <v>20.9</v>
      </c>
    </row>
    <row r="136" spans="1:11" ht="15">
      <c r="A136" s="6">
        <v>40204.291666666664</v>
      </c>
      <c r="B136" s="9">
        <f>8400000/100000</f>
        <v>84</v>
      </c>
      <c r="C136" s="9">
        <f>20000/100000</f>
        <v>0.2</v>
      </c>
      <c r="D136" s="9">
        <f>70000/100000</f>
        <v>0.7</v>
      </c>
      <c r="E136" s="9">
        <f>140000/100000</f>
        <v>1.4</v>
      </c>
      <c r="F136" s="9">
        <f>2436000/100000</f>
        <v>24.36</v>
      </c>
      <c r="G136" s="9">
        <f>2321000/100000</f>
        <v>23.21</v>
      </c>
      <c r="H136" s="9">
        <f>2535000/100000</f>
        <v>25.35</v>
      </c>
      <c r="I136" s="9">
        <f>8900000/100000</f>
        <v>89</v>
      </c>
      <c r="J136" s="9">
        <f>2225000/100000</f>
        <v>22.25</v>
      </c>
      <c r="K136" s="9">
        <f>2200000/100000</f>
        <v>22</v>
      </c>
    </row>
    <row r="137" spans="1:11" ht="15">
      <c r="A137" s="6">
        <v>40204.333333333336</v>
      </c>
      <c r="B137" s="9">
        <f>7200000/100000</f>
        <v>72</v>
      </c>
      <c r="C137" s="9">
        <f aca="true" t="shared" si="10" ref="C137:C153">0/100000</f>
        <v>0</v>
      </c>
      <c r="D137" s="9">
        <f>155000/100000</f>
        <v>1.55</v>
      </c>
      <c r="E137" s="9">
        <f>260000/100000</f>
        <v>2.6</v>
      </c>
      <c r="F137" s="9">
        <f>2606000/100000</f>
        <v>26.06</v>
      </c>
      <c r="G137" s="9">
        <f>2514000/100000</f>
        <v>25.14</v>
      </c>
      <c r="H137" s="9">
        <f>2733000/100000</f>
        <v>27.33</v>
      </c>
      <c r="I137" s="9">
        <f>7900000/100000</f>
        <v>79</v>
      </c>
      <c r="J137" s="9">
        <f>2195000/100000</f>
        <v>21.95</v>
      </c>
      <c r="K137" s="9">
        <f>2160000/100000</f>
        <v>21.6</v>
      </c>
    </row>
    <row r="138" spans="1:11" ht="15">
      <c r="A138" s="6">
        <v>40204.375</v>
      </c>
      <c r="B138" s="9">
        <f>13900000/100000</f>
        <v>139</v>
      </c>
      <c r="C138" s="9">
        <f t="shared" si="10"/>
        <v>0</v>
      </c>
      <c r="D138" s="9">
        <f>260000/100000</f>
        <v>2.6</v>
      </c>
      <c r="E138" s="9">
        <f>350000/100000</f>
        <v>3.5</v>
      </c>
      <c r="F138" s="9">
        <f>2569000/100000</f>
        <v>25.69</v>
      </c>
      <c r="G138" s="9">
        <f>2492000/100000</f>
        <v>24.92</v>
      </c>
      <c r="H138" s="9">
        <f>2664000/100000</f>
        <v>26.64</v>
      </c>
      <c r="I138" s="9">
        <f>7800000/100000</f>
        <v>78</v>
      </c>
      <c r="J138" s="9">
        <f>2125000/100000</f>
        <v>21.25</v>
      </c>
      <c r="K138" s="9">
        <f>1950000/100000</f>
        <v>19.5</v>
      </c>
    </row>
    <row r="139" spans="1:11" ht="15">
      <c r="A139" s="6">
        <v>40204.416666666664</v>
      </c>
      <c r="B139" s="9">
        <f>25200000/100000</f>
        <v>252</v>
      </c>
      <c r="C139" s="9">
        <f t="shared" si="10"/>
        <v>0</v>
      </c>
      <c r="D139" s="9">
        <f>185000/100000</f>
        <v>1.85</v>
      </c>
      <c r="E139" s="9">
        <f>340000/100000</f>
        <v>3.4</v>
      </c>
      <c r="F139" s="9">
        <f>2822000/100000</f>
        <v>28.22</v>
      </c>
      <c r="G139" s="9">
        <f>2707000/100000</f>
        <v>27.07</v>
      </c>
      <c r="H139" s="9">
        <f>2887000/100000</f>
        <v>28.87</v>
      </c>
      <c r="I139" s="9">
        <f>6200000/100000</f>
        <v>62</v>
      </c>
      <c r="J139" s="9">
        <f>1995000/100000</f>
        <v>19.95</v>
      </c>
      <c r="K139" s="9">
        <f>1920000/100000</f>
        <v>19.2</v>
      </c>
    </row>
    <row r="140" spans="1:11" ht="15">
      <c r="A140" s="6">
        <v>40204.458333333336</v>
      </c>
      <c r="B140" s="9">
        <f>20800000/100000</f>
        <v>208</v>
      </c>
      <c r="C140" s="9">
        <f t="shared" si="10"/>
        <v>0</v>
      </c>
      <c r="D140" s="9">
        <f>170000/100000</f>
        <v>1.7</v>
      </c>
      <c r="E140" s="9">
        <f>330000/100000</f>
        <v>3.3</v>
      </c>
      <c r="F140" s="9">
        <f>2909000/100000</f>
        <v>29.09</v>
      </c>
      <c r="G140" s="9">
        <f>2845000/100000</f>
        <v>28.45</v>
      </c>
      <c r="H140" s="9">
        <f>2950000/100000</f>
        <v>29.5</v>
      </c>
      <c r="I140" s="9">
        <f>6000000/100000</f>
        <v>60</v>
      </c>
      <c r="J140" s="9">
        <f>2020000/100000</f>
        <v>20.2</v>
      </c>
      <c r="K140" s="9">
        <f>1960000/100000</f>
        <v>19.6</v>
      </c>
    </row>
    <row r="141" spans="1:11" ht="15">
      <c r="A141" s="6">
        <v>40204.5</v>
      </c>
      <c r="B141" s="9">
        <f>27800000/100000</f>
        <v>278</v>
      </c>
      <c r="C141" s="9">
        <f t="shared" si="10"/>
        <v>0</v>
      </c>
      <c r="D141" s="9">
        <f>275000/100000</f>
        <v>2.75</v>
      </c>
      <c r="E141" s="9">
        <f>320000/100000</f>
        <v>3.2</v>
      </c>
      <c r="F141" s="9">
        <f>2997000/100000</f>
        <v>29.97</v>
      </c>
      <c r="G141" s="9">
        <f>2916000/100000</f>
        <v>29.16</v>
      </c>
      <c r="H141" s="9">
        <f>3053000/100000</f>
        <v>30.53</v>
      </c>
      <c r="I141" s="9">
        <f>5400000/100000</f>
        <v>54</v>
      </c>
      <c r="J141" s="9">
        <f>1930000/100000</f>
        <v>19.3</v>
      </c>
      <c r="K141" s="9">
        <f>1900000/100000</f>
        <v>19</v>
      </c>
    </row>
    <row r="142" spans="1:11" ht="15">
      <c r="A142" s="6">
        <v>40204.541666666664</v>
      </c>
      <c r="B142" s="9">
        <f>19600000/100000</f>
        <v>196</v>
      </c>
      <c r="C142" s="9">
        <f t="shared" si="10"/>
        <v>0</v>
      </c>
      <c r="D142" s="9">
        <f>300000/100000</f>
        <v>3</v>
      </c>
      <c r="E142" s="9">
        <f>440000/100000</f>
        <v>4.4</v>
      </c>
      <c r="F142" s="9">
        <f>3040000/100000</f>
        <v>30.4</v>
      </c>
      <c r="G142" s="9">
        <f>3002000/100000</f>
        <v>30.02</v>
      </c>
      <c r="H142" s="9">
        <f>3093000/100000</f>
        <v>30.93</v>
      </c>
      <c r="I142" s="9">
        <f>5100000/100000</f>
        <v>51</v>
      </c>
      <c r="J142" s="9">
        <f>1885000/100000</f>
        <v>18.85</v>
      </c>
      <c r="K142" s="9">
        <f>1820000/100000</f>
        <v>18.2</v>
      </c>
    </row>
    <row r="143" spans="1:11" ht="15">
      <c r="A143" s="6">
        <v>40204.583333333336</v>
      </c>
      <c r="B143" s="9">
        <f>21200000/100000</f>
        <v>212</v>
      </c>
      <c r="C143" s="9">
        <f t="shared" si="10"/>
        <v>0</v>
      </c>
      <c r="D143" s="9">
        <f>420000/100000</f>
        <v>4.2</v>
      </c>
      <c r="E143" s="9">
        <f>530000/100000</f>
        <v>5.3</v>
      </c>
      <c r="F143" s="9">
        <f>3045000/100000</f>
        <v>30.45</v>
      </c>
      <c r="G143" s="9">
        <f>2972000/100000</f>
        <v>29.72</v>
      </c>
      <c r="H143" s="9">
        <f>3122000/100000</f>
        <v>31.22</v>
      </c>
      <c r="I143" s="9">
        <f>5300000/100000</f>
        <v>53</v>
      </c>
      <c r="J143" s="9">
        <f>1950000/100000</f>
        <v>19.5</v>
      </c>
      <c r="K143" s="9">
        <f>1770000/100000</f>
        <v>17.7</v>
      </c>
    </row>
    <row r="144" spans="1:11" ht="15">
      <c r="A144" s="6">
        <v>40204.625</v>
      </c>
      <c r="B144" s="9">
        <f>8000000/100000</f>
        <v>80</v>
      </c>
      <c r="C144" s="9">
        <f t="shared" si="10"/>
        <v>0</v>
      </c>
      <c r="D144" s="9">
        <f>440000/100000</f>
        <v>4.4</v>
      </c>
      <c r="E144" s="9">
        <f>570000/100000</f>
        <v>5.7</v>
      </c>
      <c r="F144" s="9">
        <f>2920000/100000</f>
        <v>29.2</v>
      </c>
      <c r="G144" s="9">
        <f>2871000/100000</f>
        <v>28.71</v>
      </c>
      <c r="H144" s="9">
        <f>3028000/100000</f>
        <v>30.28</v>
      </c>
      <c r="I144" s="9">
        <f>6000000/100000</f>
        <v>60</v>
      </c>
      <c r="J144" s="9">
        <f>2050000/100000</f>
        <v>20.5</v>
      </c>
      <c r="K144" s="9">
        <f>2030000/100000</f>
        <v>20.3</v>
      </c>
    </row>
    <row r="145" spans="1:11" ht="15">
      <c r="A145" s="6">
        <v>40204.666666666664</v>
      </c>
      <c r="B145" s="9">
        <f>8800000/100000</f>
        <v>88</v>
      </c>
      <c r="C145" s="9">
        <f t="shared" si="10"/>
        <v>0</v>
      </c>
      <c r="D145" s="9">
        <f>470000/100000</f>
        <v>4.7</v>
      </c>
      <c r="E145" s="9">
        <f>540000/100000</f>
        <v>5.4</v>
      </c>
      <c r="F145" s="9">
        <f>2856000/100000</f>
        <v>28.56</v>
      </c>
      <c r="G145" s="9">
        <f>2807000/100000</f>
        <v>28.07</v>
      </c>
      <c r="H145" s="9">
        <f>2917000/100000</f>
        <v>29.17</v>
      </c>
      <c r="I145" s="9">
        <f>6200000/100000</f>
        <v>62</v>
      </c>
      <c r="J145" s="9">
        <f>2050000/100000</f>
        <v>20.5</v>
      </c>
      <c r="K145" s="9">
        <f>2020000/100000</f>
        <v>20.2</v>
      </c>
    </row>
    <row r="146" spans="1:11" ht="15">
      <c r="A146" s="6">
        <v>40204.708333333336</v>
      </c>
      <c r="B146" s="9">
        <f>2800000/100000</f>
        <v>28</v>
      </c>
      <c r="C146" s="9">
        <f t="shared" si="10"/>
        <v>0</v>
      </c>
      <c r="D146" s="9">
        <f>400000/100000</f>
        <v>4</v>
      </c>
      <c r="E146" s="9">
        <f>540000/100000</f>
        <v>5.4</v>
      </c>
      <c r="F146" s="9">
        <f>2766000/100000</f>
        <v>27.66</v>
      </c>
      <c r="G146" s="9">
        <f>2719000/100000</f>
        <v>27.19</v>
      </c>
      <c r="H146" s="9">
        <f>2813000/100000</f>
        <v>28.13</v>
      </c>
      <c r="I146" s="9">
        <f>6600000/100000</f>
        <v>66</v>
      </c>
      <c r="J146" s="9">
        <f>2060000/100000</f>
        <v>20.6</v>
      </c>
      <c r="K146" s="9">
        <f>2010000/100000</f>
        <v>20.1</v>
      </c>
    </row>
    <row r="147" spans="1:11" ht="15">
      <c r="A147" s="6">
        <v>40204.75</v>
      </c>
      <c r="B147" s="9">
        <f>600000/100000</f>
        <v>6</v>
      </c>
      <c r="C147" s="9">
        <f t="shared" si="10"/>
        <v>0</v>
      </c>
      <c r="D147" s="9">
        <f>395000/100000</f>
        <v>3.95</v>
      </c>
      <c r="E147" s="9">
        <f>470000/100000</f>
        <v>4.7</v>
      </c>
      <c r="F147" s="9">
        <f>2648000/100000</f>
        <v>26.48</v>
      </c>
      <c r="G147" s="9">
        <f>2590000/100000</f>
        <v>25.9</v>
      </c>
      <c r="H147" s="9">
        <f>2713000/100000</f>
        <v>27.13</v>
      </c>
      <c r="I147" s="9">
        <f>6700000/100000</f>
        <v>67</v>
      </c>
      <c r="J147" s="9">
        <f>1980000/100000</f>
        <v>19.8</v>
      </c>
      <c r="K147" s="9">
        <f>1930000/100000</f>
        <v>19.3</v>
      </c>
    </row>
    <row r="148" spans="1:11" ht="15">
      <c r="A148" s="6">
        <v>40204.791666666664</v>
      </c>
      <c r="B148" s="9">
        <f aca="true" t="shared" si="11" ref="B148:B158">0/100000</f>
        <v>0</v>
      </c>
      <c r="C148" s="9">
        <f t="shared" si="10"/>
        <v>0</v>
      </c>
      <c r="D148" s="9">
        <f>280000/100000</f>
        <v>2.8</v>
      </c>
      <c r="E148" s="9">
        <f>340000/100000</f>
        <v>3.4</v>
      </c>
      <c r="F148" s="9">
        <f>2532000/100000</f>
        <v>25.32</v>
      </c>
      <c r="G148" s="9">
        <f>2489000/100000</f>
        <v>24.89</v>
      </c>
      <c r="H148" s="9">
        <f>2590000/100000</f>
        <v>25.9</v>
      </c>
      <c r="I148" s="9">
        <f>7700000/100000</f>
        <v>77</v>
      </c>
      <c r="J148" s="9">
        <f>2075000/100000</f>
        <v>20.75</v>
      </c>
      <c r="K148" s="9">
        <f>2000000/100000</f>
        <v>20</v>
      </c>
    </row>
    <row r="149" spans="1:11" ht="15">
      <c r="A149" s="6">
        <v>40204.833333333336</v>
      </c>
      <c r="B149" s="9">
        <f t="shared" si="11"/>
        <v>0</v>
      </c>
      <c r="C149" s="9">
        <f t="shared" si="10"/>
        <v>0</v>
      </c>
      <c r="D149" s="9">
        <f>245000/100000</f>
        <v>2.45</v>
      </c>
      <c r="E149" s="9">
        <f>280000/100000</f>
        <v>2.8</v>
      </c>
      <c r="F149" s="9">
        <f>2472000/100000</f>
        <v>24.72</v>
      </c>
      <c r="G149" s="9">
        <f>2453000/100000</f>
        <v>24.53</v>
      </c>
      <c r="H149" s="9">
        <f>2498000/100000</f>
        <v>24.98</v>
      </c>
      <c r="I149" s="9">
        <f>8100000/100000</f>
        <v>81</v>
      </c>
      <c r="J149" s="9">
        <f>2110000/100000</f>
        <v>21.1</v>
      </c>
      <c r="K149" s="9">
        <f>2080000/100000</f>
        <v>20.8</v>
      </c>
    </row>
    <row r="150" spans="1:11" ht="15">
      <c r="A150" s="6">
        <v>40204.875</v>
      </c>
      <c r="B150" s="9">
        <f t="shared" si="11"/>
        <v>0</v>
      </c>
      <c r="C150" s="9">
        <f t="shared" si="10"/>
        <v>0</v>
      </c>
      <c r="D150" s="9">
        <f>180000/100000</f>
        <v>1.8</v>
      </c>
      <c r="E150" s="9">
        <f>260000/100000</f>
        <v>2.6</v>
      </c>
      <c r="F150" s="9">
        <f>2430000/100000</f>
        <v>24.3</v>
      </c>
      <c r="G150" s="9">
        <f>2408000/100000</f>
        <v>24.08</v>
      </c>
      <c r="H150" s="9">
        <f>2460000/100000</f>
        <v>24.6</v>
      </c>
      <c r="I150" s="9">
        <f>8200000/100000</f>
        <v>82</v>
      </c>
      <c r="J150" s="9">
        <f>2085000/100000</f>
        <v>20.85</v>
      </c>
      <c r="K150" s="9">
        <f>2070000/100000</f>
        <v>20.7</v>
      </c>
    </row>
    <row r="151" spans="1:11" ht="15">
      <c r="A151" s="6">
        <v>40204.916666666664</v>
      </c>
      <c r="B151" s="9">
        <f t="shared" si="11"/>
        <v>0</v>
      </c>
      <c r="C151" s="9">
        <f t="shared" si="10"/>
        <v>0</v>
      </c>
      <c r="D151" s="9">
        <f>90000/100000</f>
        <v>0.9</v>
      </c>
      <c r="E151" s="9">
        <f>140000/100000</f>
        <v>1.4</v>
      </c>
      <c r="F151" s="9">
        <f>2397000/100000</f>
        <v>23.97</v>
      </c>
      <c r="G151" s="9">
        <f>2384000/100000</f>
        <v>23.84</v>
      </c>
      <c r="H151" s="9">
        <f>2417000/100000</f>
        <v>24.17</v>
      </c>
      <c r="I151" s="9">
        <f>8500000/100000</f>
        <v>85</v>
      </c>
      <c r="J151" s="9">
        <f>2115000/100000</f>
        <v>21.15</v>
      </c>
      <c r="K151" s="9">
        <f>2100000/100000</f>
        <v>21</v>
      </c>
    </row>
    <row r="152" spans="1:11" ht="15">
      <c r="A152" s="6">
        <v>40204.958333333336</v>
      </c>
      <c r="B152" s="9">
        <f t="shared" si="11"/>
        <v>0</v>
      </c>
      <c r="C152" s="9">
        <f t="shared" si="10"/>
        <v>0</v>
      </c>
      <c r="D152" s="9">
        <f>60000/100000</f>
        <v>0.6</v>
      </c>
      <c r="E152" s="9">
        <f>130000/100000</f>
        <v>1.3</v>
      </c>
      <c r="F152" s="9">
        <f>2373000/100000</f>
        <v>23.73</v>
      </c>
      <c r="G152" s="9">
        <f>2357000/100000</f>
        <v>23.57</v>
      </c>
      <c r="H152" s="9">
        <f>2396000/100000</f>
        <v>23.96</v>
      </c>
      <c r="I152" s="9">
        <f>8800000/100000</f>
        <v>88</v>
      </c>
      <c r="J152" s="9">
        <f>2145000/100000</f>
        <v>21.45</v>
      </c>
      <c r="K152" s="9">
        <f>2140000/100000</f>
        <v>21.4</v>
      </c>
    </row>
    <row r="153" spans="1:11" ht="15">
      <c r="A153" s="6">
        <v>40205</v>
      </c>
      <c r="B153" s="9">
        <f t="shared" si="11"/>
        <v>0</v>
      </c>
      <c r="C153" s="9">
        <f t="shared" si="10"/>
        <v>0</v>
      </c>
      <c r="D153" s="9">
        <f>55000/100000</f>
        <v>0.55</v>
      </c>
      <c r="E153" s="9">
        <f>110000/100000</f>
        <v>1.1</v>
      </c>
      <c r="F153" s="9">
        <f>2354000/100000</f>
        <v>23.54</v>
      </c>
      <c r="G153" s="9">
        <f>2343000/100000</f>
        <v>23.43</v>
      </c>
      <c r="H153" s="9">
        <f>2369000/100000</f>
        <v>23.69</v>
      </c>
      <c r="I153" s="9">
        <f>9000000/100000</f>
        <v>90</v>
      </c>
      <c r="J153" s="9">
        <f>2155000/100000</f>
        <v>21.55</v>
      </c>
      <c r="K153" s="9">
        <f>2150000/100000</f>
        <v>21.5</v>
      </c>
    </row>
    <row r="154" spans="1:11" ht="15">
      <c r="A154" s="6">
        <v>40205.041666666664</v>
      </c>
      <c r="B154" s="9">
        <f t="shared" si="11"/>
        <v>0</v>
      </c>
      <c r="C154" s="9">
        <f>20000/100000</f>
        <v>0.2</v>
      </c>
      <c r="D154" s="9">
        <f>60000/100000</f>
        <v>0.6</v>
      </c>
      <c r="E154" s="9">
        <f>100000/100000</f>
        <v>1</v>
      </c>
      <c r="F154" s="9">
        <f>2367000/100000</f>
        <v>23.67</v>
      </c>
      <c r="G154" s="9">
        <f>2355000/100000</f>
        <v>23.55</v>
      </c>
      <c r="H154" s="9">
        <f>2377000/100000</f>
        <v>23.77</v>
      </c>
      <c r="I154" s="9">
        <f>9000000/100000</f>
        <v>90</v>
      </c>
      <c r="J154" s="9">
        <f>2180000/100000</f>
        <v>21.8</v>
      </c>
      <c r="K154" s="9">
        <f>2170000/100000</f>
        <v>21.7</v>
      </c>
    </row>
    <row r="155" spans="1:11" ht="15">
      <c r="A155" s="6">
        <v>40205.083333333336</v>
      </c>
      <c r="B155" s="9">
        <f t="shared" si="11"/>
        <v>0</v>
      </c>
      <c r="C155" s="9">
        <f aca="true" t="shared" si="12" ref="C155:C186">0/100000</f>
        <v>0</v>
      </c>
      <c r="D155" s="9">
        <f>5000/100000</f>
        <v>0.05</v>
      </c>
      <c r="E155" s="9">
        <f>30000/100000</f>
        <v>0.3</v>
      </c>
      <c r="F155" s="9">
        <f>2331000/100000</f>
        <v>23.31</v>
      </c>
      <c r="G155" s="9">
        <f>2312000/100000</f>
        <v>23.12</v>
      </c>
      <c r="H155" s="9">
        <f>2349000/100000</f>
        <v>23.49</v>
      </c>
      <c r="I155" s="9">
        <f>9300000/100000</f>
        <v>93</v>
      </c>
      <c r="J155" s="9">
        <f>2190000/100000</f>
        <v>21.9</v>
      </c>
      <c r="K155" s="9">
        <f>2180000/100000</f>
        <v>21.8</v>
      </c>
    </row>
    <row r="156" spans="1:11" ht="15">
      <c r="A156" s="6">
        <v>40205.125</v>
      </c>
      <c r="B156" s="9">
        <f t="shared" si="11"/>
        <v>0</v>
      </c>
      <c r="C156" s="9">
        <f t="shared" si="12"/>
        <v>0</v>
      </c>
      <c r="D156" s="9">
        <f>0/100000</f>
        <v>0</v>
      </c>
      <c r="E156" s="9">
        <f>0/100000</f>
        <v>0</v>
      </c>
      <c r="F156" s="9">
        <f>2314000/100000</f>
        <v>23.14</v>
      </c>
      <c r="G156" s="9">
        <f>2301000/100000</f>
        <v>23.01</v>
      </c>
      <c r="H156" s="9">
        <f>2328000/100000</f>
        <v>23.28</v>
      </c>
      <c r="I156" s="9">
        <f>9400000/100000</f>
        <v>94</v>
      </c>
      <c r="J156" s="9">
        <f>2200000/100000</f>
        <v>22</v>
      </c>
      <c r="K156" s="9">
        <f>2200000/100000</f>
        <v>22</v>
      </c>
    </row>
    <row r="157" spans="1:11" ht="15">
      <c r="A157" s="6">
        <v>40205.166666666664</v>
      </c>
      <c r="B157" s="9">
        <f t="shared" si="11"/>
        <v>0</v>
      </c>
      <c r="C157" s="9">
        <f t="shared" si="12"/>
        <v>0</v>
      </c>
      <c r="D157" s="9">
        <f>0/100000</f>
        <v>0</v>
      </c>
      <c r="E157" s="9">
        <f>0/100000</f>
        <v>0</v>
      </c>
      <c r="F157" s="9">
        <f>2279000/100000</f>
        <v>22.79</v>
      </c>
      <c r="G157" s="9">
        <f>2262000/100000</f>
        <v>22.62</v>
      </c>
      <c r="H157" s="9">
        <f>2293000/100000</f>
        <v>22.93</v>
      </c>
      <c r="I157" s="9">
        <f>9600000/100000</f>
        <v>96</v>
      </c>
      <c r="J157" s="9">
        <f>2190000/100000</f>
        <v>21.9</v>
      </c>
      <c r="K157" s="9">
        <f>2190000/100000</f>
        <v>21.9</v>
      </c>
    </row>
    <row r="158" spans="1:11" ht="15">
      <c r="A158" s="6">
        <v>40205.208333333336</v>
      </c>
      <c r="B158" s="9">
        <f t="shared" si="11"/>
        <v>0</v>
      </c>
      <c r="C158" s="9">
        <f t="shared" si="12"/>
        <v>0</v>
      </c>
      <c r="D158" s="9">
        <f>0/100000</f>
        <v>0</v>
      </c>
      <c r="E158" s="9">
        <f>10000/100000</f>
        <v>0.1</v>
      </c>
      <c r="F158" s="9">
        <f>2274000/100000</f>
        <v>22.74</v>
      </c>
      <c r="G158" s="9">
        <f>2262000/100000</f>
        <v>22.62</v>
      </c>
      <c r="H158" s="9">
        <f>2289000/100000</f>
        <v>22.89</v>
      </c>
      <c r="I158" s="9">
        <f>9700000/100000</f>
        <v>97</v>
      </c>
      <c r="J158" s="9">
        <f>2195000/100000</f>
        <v>21.95</v>
      </c>
      <c r="K158" s="9">
        <f>2190000/100000</f>
        <v>21.9</v>
      </c>
    </row>
    <row r="159" spans="1:11" ht="15">
      <c r="A159" s="6">
        <v>40205.25</v>
      </c>
      <c r="B159" s="9">
        <f>1900000/100000</f>
        <v>19</v>
      </c>
      <c r="C159" s="9">
        <f t="shared" si="12"/>
        <v>0</v>
      </c>
      <c r="D159" s="9">
        <f>25000/100000</f>
        <v>0.25</v>
      </c>
      <c r="E159" s="9">
        <f>130000/100000</f>
        <v>1.3</v>
      </c>
      <c r="F159" s="9">
        <f>2279000/100000</f>
        <v>22.79</v>
      </c>
      <c r="G159" s="9">
        <f>2255000/100000</f>
        <v>22.55</v>
      </c>
      <c r="H159" s="9">
        <f>2333000/100000</f>
        <v>23.33</v>
      </c>
      <c r="I159" s="9">
        <f>9700000/100000</f>
        <v>97</v>
      </c>
      <c r="J159" s="9">
        <f>2210000/100000</f>
        <v>22.1</v>
      </c>
      <c r="K159" s="9">
        <f>2180000/100000</f>
        <v>21.8</v>
      </c>
    </row>
    <row r="160" spans="1:11" ht="15">
      <c r="A160" s="6">
        <v>40205.291666666664</v>
      </c>
      <c r="B160" s="9">
        <f>8400000/100000</f>
        <v>84</v>
      </c>
      <c r="C160" s="9">
        <f t="shared" si="12"/>
        <v>0</v>
      </c>
      <c r="D160" s="9">
        <f>120000/100000</f>
        <v>1.2</v>
      </c>
      <c r="E160" s="9">
        <f>180000/100000</f>
        <v>1.8</v>
      </c>
      <c r="F160" s="9">
        <f>2517000/100000</f>
        <v>25.17</v>
      </c>
      <c r="G160" s="9">
        <f>2355000/100000</f>
        <v>23.55</v>
      </c>
      <c r="H160" s="9">
        <f>2658000/100000</f>
        <v>26.58</v>
      </c>
      <c r="I160" s="9">
        <f>9000000/100000</f>
        <v>90</v>
      </c>
      <c r="J160" s="9">
        <f>2315000/100000</f>
        <v>23.15</v>
      </c>
      <c r="K160" s="9">
        <f>2280000/100000</f>
        <v>22.8</v>
      </c>
    </row>
    <row r="161" spans="1:11" ht="15">
      <c r="A161" s="6">
        <v>40205.333333333336</v>
      </c>
      <c r="B161" s="9">
        <f>7200000/100000</f>
        <v>72</v>
      </c>
      <c r="C161" s="9">
        <f t="shared" si="12"/>
        <v>0</v>
      </c>
      <c r="D161" s="9">
        <f>175000/100000</f>
        <v>1.75</v>
      </c>
      <c r="E161" s="9">
        <f>240000/100000</f>
        <v>2.4</v>
      </c>
      <c r="F161" s="9">
        <f>2651000/100000</f>
        <v>26.51</v>
      </c>
      <c r="G161" s="9">
        <f>2611000/100000</f>
        <v>26.11</v>
      </c>
      <c r="H161" s="9">
        <f>2680000/100000</f>
        <v>26.8</v>
      </c>
      <c r="I161" s="9">
        <f>7900000/100000</f>
        <v>79</v>
      </c>
      <c r="J161" s="9">
        <f>2235000/100000</f>
        <v>22.35</v>
      </c>
      <c r="K161" s="9">
        <f>2190000/100000</f>
        <v>21.9</v>
      </c>
    </row>
    <row r="162" spans="1:11" ht="15">
      <c r="A162" s="6">
        <v>40205.375</v>
      </c>
      <c r="B162" s="9">
        <f>25800000/100000</f>
        <v>258</v>
      </c>
      <c r="C162" s="9">
        <f t="shared" si="12"/>
        <v>0</v>
      </c>
      <c r="D162" s="9">
        <f>205000/100000</f>
        <v>2.05</v>
      </c>
      <c r="E162" s="9">
        <f>330000/100000</f>
        <v>3.3</v>
      </c>
      <c r="F162" s="9">
        <f>2852000/100000</f>
        <v>28.52</v>
      </c>
      <c r="G162" s="9">
        <f>2675000/100000</f>
        <v>26.75</v>
      </c>
      <c r="H162" s="9">
        <f>2988000/100000</f>
        <v>29.88</v>
      </c>
      <c r="I162" s="9">
        <f>6600000/100000</f>
        <v>66</v>
      </c>
      <c r="J162" s="9">
        <f>2125000/100000</f>
        <v>21.25</v>
      </c>
      <c r="K162" s="9">
        <f>2050000/100000</f>
        <v>20.5</v>
      </c>
    </row>
    <row r="163" spans="1:11" ht="15">
      <c r="A163" s="6">
        <v>40205.416666666664</v>
      </c>
      <c r="B163" s="9">
        <f>36400000/100000</f>
        <v>364</v>
      </c>
      <c r="C163" s="9">
        <f t="shared" si="12"/>
        <v>0</v>
      </c>
      <c r="D163" s="9">
        <f>255000/100000</f>
        <v>2.55</v>
      </c>
      <c r="E163" s="9">
        <f>380000/100000</f>
        <v>3.8</v>
      </c>
      <c r="F163" s="9">
        <f>3023000/100000</f>
        <v>30.23</v>
      </c>
      <c r="G163" s="9">
        <f>2922000/100000</f>
        <v>29.22</v>
      </c>
      <c r="H163" s="9">
        <f>3091000/100000</f>
        <v>30.91</v>
      </c>
      <c r="I163" s="9">
        <f>5700000/100000</f>
        <v>57</v>
      </c>
      <c r="J163" s="9">
        <f>2045000/100000</f>
        <v>20.45</v>
      </c>
      <c r="K163" s="9">
        <f>1960000/100000</f>
        <v>19.6</v>
      </c>
    </row>
    <row r="164" spans="1:11" ht="15">
      <c r="A164" s="6">
        <v>40205.458333333336</v>
      </c>
      <c r="B164" s="9">
        <f>41000000/100000</f>
        <v>410</v>
      </c>
      <c r="C164" s="9">
        <f t="shared" si="12"/>
        <v>0</v>
      </c>
      <c r="D164" s="9">
        <f>300000/100000</f>
        <v>3</v>
      </c>
      <c r="E164" s="9">
        <f>400000/100000</f>
        <v>4</v>
      </c>
      <c r="F164" s="9">
        <f>3091000/100000</f>
        <v>30.91</v>
      </c>
      <c r="G164" s="9">
        <f>3030000/100000</f>
        <v>30.3</v>
      </c>
      <c r="H164" s="9">
        <f>3129000/100000</f>
        <v>31.29</v>
      </c>
      <c r="I164" s="9">
        <f>5400000/100000</f>
        <v>54</v>
      </c>
      <c r="J164" s="9">
        <f>2020000/100000</f>
        <v>20.2</v>
      </c>
      <c r="K164" s="9">
        <f>1950000/100000</f>
        <v>19.5</v>
      </c>
    </row>
    <row r="165" spans="1:11" ht="15">
      <c r="A165" s="6">
        <v>40205.5</v>
      </c>
      <c r="B165" s="9">
        <f>39600000/100000</f>
        <v>396</v>
      </c>
      <c r="C165" s="9">
        <f t="shared" si="12"/>
        <v>0</v>
      </c>
      <c r="D165" s="9">
        <f>395000/100000</f>
        <v>3.95</v>
      </c>
      <c r="E165" s="9">
        <f>500000/100000</f>
        <v>5</v>
      </c>
      <c r="F165" s="9">
        <f>3093000/100000</f>
        <v>30.93</v>
      </c>
      <c r="G165" s="9">
        <f>3020000/100000</f>
        <v>30.2</v>
      </c>
      <c r="H165" s="9">
        <f>3166000/100000</f>
        <v>31.66</v>
      </c>
      <c r="I165" s="9">
        <f>5200000/100000</f>
        <v>52</v>
      </c>
      <c r="J165" s="9">
        <f>1970000/100000</f>
        <v>19.7</v>
      </c>
      <c r="K165" s="9">
        <f>1930000/100000</f>
        <v>19.3</v>
      </c>
    </row>
    <row r="166" spans="1:11" ht="15">
      <c r="A166" s="6">
        <v>40205.541666666664</v>
      </c>
      <c r="B166" s="9">
        <f>32600000/100000</f>
        <v>326</v>
      </c>
      <c r="C166" s="9">
        <f t="shared" si="12"/>
        <v>0</v>
      </c>
      <c r="D166" s="9">
        <f>335000/100000</f>
        <v>3.35</v>
      </c>
      <c r="E166" s="9">
        <f>440000/100000</f>
        <v>4.4</v>
      </c>
      <c r="F166" s="9">
        <f>3161000/100000</f>
        <v>31.61</v>
      </c>
      <c r="G166" s="9">
        <f>3097000/100000</f>
        <v>30.97</v>
      </c>
      <c r="H166" s="9">
        <f>3268000/100000</f>
        <v>32.68</v>
      </c>
      <c r="I166" s="9">
        <f>5100000/100000</f>
        <v>51</v>
      </c>
      <c r="J166" s="9">
        <f>1995000/100000</f>
        <v>19.95</v>
      </c>
      <c r="K166" s="9">
        <f>1920000/100000</f>
        <v>19.2</v>
      </c>
    </row>
    <row r="167" spans="1:11" ht="15">
      <c r="A167" s="6">
        <v>40205.583333333336</v>
      </c>
      <c r="B167" s="9">
        <f>32000000/100000</f>
        <v>320</v>
      </c>
      <c r="C167" s="9">
        <f t="shared" si="12"/>
        <v>0</v>
      </c>
      <c r="D167" s="9">
        <f>460000/100000</f>
        <v>4.6</v>
      </c>
      <c r="E167" s="9">
        <f>560000/100000</f>
        <v>5.6</v>
      </c>
      <c r="F167" s="9">
        <f>3089000/100000</f>
        <v>30.89</v>
      </c>
      <c r="G167" s="9">
        <f>3016000/100000</f>
        <v>30.16</v>
      </c>
      <c r="H167" s="9">
        <f>3178000/100000</f>
        <v>31.78</v>
      </c>
      <c r="I167" s="9">
        <f>5400000/100000</f>
        <v>54</v>
      </c>
      <c r="J167" s="9">
        <f>2040000/100000</f>
        <v>20.4</v>
      </c>
      <c r="K167" s="9">
        <f>1970000/100000</f>
        <v>19.7</v>
      </c>
    </row>
    <row r="168" spans="1:11" ht="15">
      <c r="A168" s="6">
        <v>40205.625</v>
      </c>
      <c r="B168" s="9">
        <f>19000000/100000</f>
        <v>190</v>
      </c>
      <c r="C168" s="9">
        <f t="shared" si="12"/>
        <v>0</v>
      </c>
      <c r="D168" s="9">
        <f>425000/100000</f>
        <v>4.25</v>
      </c>
      <c r="E168" s="9">
        <f>520000/100000</f>
        <v>5.2</v>
      </c>
      <c r="F168" s="9">
        <f>3010000/100000</f>
        <v>30.1</v>
      </c>
      <c r="G168" s="9">
        <f>2909000/100000</f>
        <v>29.09</v>
      </c>
      <c r="H168" s="9">
        <f>3152000/100000</f>
        <v>31.52</v>
      </c>
      <c r="I168" s="9">
        <f>6000000/100000</f>
        <v>60</v>
      </c>
      <c r="J168" s="9">
        <f>2140000/100000</f>
        <v>21.4</v>
      </c>
      <c r="K168" s="9">
        <f>2100000/100000</f>
        <v>21</v>
      </c>
    </row>
    <row r="169" spans="1:11" ht="15">
      <c r="A169" s="6">
        <v>40205.666666666664</v>
      </c>
      <c r="B169" s="9">
        <f>17800000/100000</f>
        <v>178</v>
      </c>
      <c r="C169" s="9">
        <f t="shared" si="12"/>
        <v>0</v>
      </c>
      <c r="D169" s="9">
        <f>420000/100000</f>
        <v>4.2</v>
      </c>
      <c r="E169" s="9">
        <f>530000/100000</f>
        <v>5.3</v>
      </c>
      <c r="F169" s="9">
        <f>2940000/100000</f>
        <v>29.4</v>
      </c>
      <c r="G169" s="9">
        <f>2877000/100000</f>
        <v>28.77</v>
      </c>
      <c r="H169" s="9">
        <f>2988000/100000</f>
        <v>29.88</v>
      </c>
      <c r="I169" s="9">
        <f>6300000/100000</f>
        <v>63</v>
      </c>
      <c r="J169" s="9">
        <f>2130000/100000</f>
        <v>21.3</v>
      </c>
      <c r="K169" s="9">
        <f>2090000/100000</f>
        <v>20.9</v>
      </c>
    </row>
    <row r="170" spans="1:11" ht="15">
      <c r="A170" s="6">
        <v>40205.708333333336</v>
      </c>
      <c r="B170" s="9">
        <f>9400000/100000</f>
        <v>94</v>
      </c>
      <c r="C170" s="9">
        <f t="shared" si="12"/>
        <v>0</v>
      </c>
      <c r="D170" s="9">
        <f>375000/100000</f>
        <v>3.75</v>
      </c>
      <c r="E170" s="9">
        <f>610000/100000</f>
        <v>6.1</v>
      </c>
      <c r="F170" s="9">
        <f>2865000/100000</f>
        <v>28.65</v>
      </c>
      <c r="G170" s="9">
        <f>2764000/100000</f>
        <v>27.64</v>
      </c>
      <c r="H170" s="9">
        <f>2957000/100000</f>
        <v>29.57</v>
      </c>
      <c r="I170" s="9">
        <f>6500000/100000</f>
        <v>65</v>
      </c>
      <c r="J170" s="9">
        <f>2125000/100000</f>
        <v>21.25</v>
      </c>
      <c r="K170" s="9">
        <f>2100000/100000</f>
        <v>21</v>
      </c>
    </row>
    <row r="171" spans="1:11" ht="15">
      <c r="A171" s="6">
        <v>40205.75</v>
      </c>
      <c r="B171" s="9">
        <f>1000000/100000</f>
        <v>10</v>
      </c>
      <c r="C171" s="9">
        <f t="shared" si="12"/>
        <v>0</v>
      </c>
      <c r="D171" s="9">
        <f>330000/100000</f>
        <v>3.3</v>
      </c>
      <c r="E171" s="9">
        <f>420000/100000</f>
        <v>4.2</v>
      </c>
      <c r="F171" s="9">
        <f>2696000/100000</f>
        <v>26.96</v>
      </c>
      <c r="G171" s="9">
        <f>2647000/100000</f>
        <v>26.47</v>
      </c>
      <c r="H171" s="9">
        <f>2752000/100000</f>
        <v>27.52</v>
      </c>
      <c r="I171" s="9">
        <f>7200000/100000</f>
        <v>72</v>
      </c>
      <c r="J171" s="9">
        <f>2135000/100000</f>
        <v>21.35</v>
      </c>
      <c r="K171" s="9">
        <f>2120000/100000</f>
        <v>21.2</v>
      </c>
    </row>
    <row r="172" spans="1:11" ht="15">
      <c r="A172" s="6">
        <v>40205.791666666664</v>
      </c>
      <c r="B172" s="9">
        <f aca="true" t="shared" si="13" ref="B172:B182">0/100000</f>
        <v>0</v>
      </c>
      <c r="C172" s="9">
        <f t="shared" si="12"/>
        <v>0</v>
      </c>
      <c r="D172" s="9">
        <f>305000/100000</f>
        <v>3.05</v>
      </c>
      <c r="E172" s="9">
        <f>450000/100000</f>
        <v>4.5</v>
      </c>
      <c r="F172" s="9">
        <f>2601000/100000</f>
        <v>26.01</v>
      </c>
      <c r="G172" s="9">
        <f>2566000/100000</f>
        <v>25.66</v>
      </c>
      <c r="H172" s="9">
        <f>2642000/100000</f>
        <v>26.42</v>
      </c>
      <c r="I172" s="9">
        <f>7800000/100000</f>
        <v>78</v>
      </c>
      <c r="J172" s="9">
        <f>2160000/100000</f>
        <v>21.6</v>
      </c>
      <c r="K172" s="9">
        <f>2140000/100000</f>
        <v>21.4</v>
      </c>
    </row>
    <row r="173" spans="1:11" ht="15">
      <c r="A173" s="6">
        <v>40205.833333333336</v>
      </c>
      <c r="B173" s="9">
        <f t="shared" si="13"/>
        <v>0</v>
      </c>
      <c r="C173" s="9">
        <f t="shared" si="12"/>
        <v>0</v>
      </c>
      <c r="D173" s="9">
        <f>230000/100000</f>
        <v>2.3</v>
      </c>
      <c r="E173" s="9">
        <f>310000/100000</f>
        <v>3.1</v>
      </c>
      <c r="F173" s="9">
        <f>2534000/100000</f>
        <v>25.34</v>
      </c>
      <c r="G173" s="9">
        <f>2510000/100000</f>
        <v>25.1</v>
      </c>
      <c r="H173" s="9">
        <f>2560000/100000</f>
        <v>25.6</v>
      </c>
      <c r="I173" s="9">
        <f>8200000/100000</f>
        <v>82</v>
      </c>
      <c r="J173" s="9">
        <f>2185000/100000</f>
        <v>21.85</v>
      </c>
      <c r="K173" s="9">
        <f>2180000/100000</f>
        <v>21.8</v>
      </c>
    </row>
    <row r="174" spans="1:11" ht="15">
      <c r="A174" s="6">
        <v>40205.875</v>
      </c>
      <c r="B174" s="9">
        <f t="shared" si="13"/>
        <v>0</v>
      </c>
      <c r="C174" s="9">
        <f t="shared" si="12"/>
        <v>0</v>
      </c>
      <c r="D174" s="9">
        <f>180000/100000</f>
        <v>1.8</v>
      </c>
      <c r="E174" s="9">
        <f>250000/100000</f>
        <v>2.5</v>
      </c>
      <c r="F174" s="9">
        <f>2495000/100000</f>
        <v>24.95</v>
      </c>
      <c r="G174" s="9">
        <f>2482000/100000</f>
        <v>24.82</v>
      </c>
      <c r="H174" s="9">
        <f>2506000/100000</f>
        <v>25.06</v>
      </c>
      <c r="I174" s="9">
        <f>8400000/100000</f>
        <v>84</v>
      </c>
      <c r="J174" s="9">
        <f>2200000/100000</f>
        <v>22</v>
      </c>
      <c r="K174" s="9">
        <f>2190000/100000</f>
        <v>21.9</v>
      </c>
    </row>
    <row r="175" spans="1:11" ht="15">
      <c r="A175" s="6">
        <v>40205.916666666664</v>
      </c>
      <c r="B175" s="9">
        <f t="shared" si="13"/>
        <v>0</v>
      </c>
      <c r="C175" s="9">
        <f t="shared" si="12"/>
        <v>0</v>
      </c>
      <c r="D175" s="9">
        <f>130000/100000</f>
        <v>1.3</v>
      </c>
      <c r="E175" s="9">
        <f>190000/100000</f>
        <v>1.9</v>
      </c>
      <c r="F175" s="9">
        <f>2473000/100000</f>
        <v>24.73</v>
      </c>
      <c r="G175" s="9">
        <f>2461000/100000</f>
        <v>24.61</v>
      </c>
      <c r="H175" s="9">
        <f>2483000/100000</f>
        <v>24.83</v>
      </c>
      <c r="I175" s="9">
        <f>8800000/100000</f>
        <v>88</v>
      </c>
      <c r="J175" s="9">
        <f>2250000/100000</f>
        <v>22.5</v>
      </c>
      <c r="K175" s="9">
        <f>2230000/100000</f>
        <v>22.3</v>
      </c>
    </row>
    <row r="176" spans="1:11" ht="15">
      <c r="A176" s="6">
        <v>40205.958333333336</v>
      </c>
      <c r="B176" s="9">
        <f t="shared" si="13"/>
        <v>0</v>
      </c>
      <c r="C176" s="9">
        <f t="shared" si="12"/>
        <v>0</v>
      </c>
      <c r="D176" s="9">
        <f>70000/100000</f>
        <v>0.7</v>
      </c>
      <c r="E176" s="9">
        <f>140000/100000</f>
        <v>1.4</v>
      </c>
      <c r="F176" s="9">
        <f>2468000/100000</f>
        <v>24.68</v>
      </c>
      <c r="G176" s="9">
        <f>2462000/100000</f>
        <v>24.62</v>
      </c>
      <c r="H176" s="9">
        <f>2472000/100000</f>
        <v>24.72</v>
      </c>
      <c r="I176" s="9">
        <f>9100000/100000</f>
        <v>91</v>
      </c>
      <c r="J176" s="9">
        <f>2285000/100000</f>
        <v>22.85</v>
      </c>
      <c r="K176" s="9">
        <f>2270000/100000</f>
        <v>22.7</v>
      </c>
    </row>
    <row r="177" spans="1:11" ht="15">
      <c r="A177" s="6">
        <v>40206</v>
      </c>
      <c r="B177" s="9">
        <f t="shared" si="13"/>
        <v>0</v>
      </c>
      <c r="C177" s="9">
        <f t="shared" si="12"/>
        <v>0</v>
      </c>
      <c r="D177" s="9">
        <f>25000/100000</f>
        <v>0.25</v>
      </c>
      <c r="E177" s="9">
        <f>50000/100000</f>
        <v>0.5</v>
      </c>
      <c r="F177" s="9">
        <f>2459000/100000</f>
        <v>24.59</v>
      </c>
      <c r="G177" s="9">
        <f>2450000/100000</f>
        <v>24.5</v>
      </c>
      <c r="H177" s="9">
        <f>2469000/100000</f>
        <v>24.69</v>
      </c>
      <c r="I177" s="9">
        <f>9100000/100000</f>
        <v>91</v>
      </c>
      <c r="J177" s="9">
        <f>2285000/100000</f>
        <v>22.85</v>
      </c>
      <c r="K177" s="9">
        <f>2280000/100000</f>
        <v>22.8</v>
      </c>
    </row>
    <row r="178" spans="1:11" ht="15">
      <c r="A178" s="6">
        <v>40206.041666666664</v>
      </c>
      <c r="B178" s="9">
        <f t="shared" si="13"/>
        <v>0</v>
      </c>
      <c r="C178" s="9">
        <f t="shared" si="12"/>
        <v>0</v>
      </c>
      <c r="D178" s="9">
        <f>0/100000</f>
        <v>0</v>
      </c>
      <c r="E178" s="9">
        <f>10000/100000</f>
        <v>0.1</v>
      </c>
      <c r="F178" s="9">
        <f>2440000/100000</f>
        <v>24.4</v>
      </c>
      <c r="G178" s="9">
        <f>2416000/100000</f>
        <v>24.16</v>
      </c>
      <c r="H178" s="9">
        <f>2451000/100000</f>
        <v>24.51</v>
      </c>
      <c r="I178" s="9">
        <f>9200000/100000</f>
        <v>92</v>
      </c>
      <c r="J178" s="9">
        <f>2290000/100000</f>
        <v>22.9</v>
      </c>
      <c r="K178" s="9">
        <f>2280000/100000</f>
        <v>22.8</v>
      </c>
    </row>
    <row r="179" spans="1:11" ht="15">
      <c r="A179" s="6">
        <v>40206.083333333336</v>
      </c>
      <c r="B179" s="9">
        <f t="shared" si="13"/>
        <v>0</v>
      </c>
      <c r="C179" s="9">
        <f t="shared" si="12"/>
        <v>0</v>
      </c>
      <c r="D179" s="9">
        <f>0/100000</f>
        <v>0</v>
      </c>
      <c r="E179" s="9">
        <f>0/100000</f>
        <v>0</v>
      </c>
      <c r="F179" s="9">
        <f>2384000/100000</f>
        <v>23.84</v>
      </c>
      <c r="G179" s="9">
        <f>2358000/100000</f>
        <v>23.58</v>
      </c>
      <c r="H179" s="9">
        <f>2409000/100000</f>
        <v>24.09</v>
      </c>
      <c r="I179" s="9">
        <f>9400000/100000</f>
        <v>94</v>
      </c>
      <c r="J179" s="9">
        <f>2270000/100000</f>
        <v>22.7</v>
      </c>
      <c r="K179" s="9">
        <f>2250000/100000</f>
        <v>22.5</v>
      </c>
    </row>
    <row r="180" spans="1:11" ht="15">
      <c r="A180" s="6">
        <v>40206.125</v>
      </c>
      <c r="B180" s="9">
        <f t="shared" si="13"/>
        <v>0</v>
      </c>
      <c r="C180" s="9">
        <f t="shared" si="12"/>
        <v>0</v>
      </c>
      <c r="D180" s="9">
        <f>0/100000</f>
        <v>0</v>
      </c>
      <c r="E180" s="9">
        <f>0/100000</f>
        <v>0</v>
      </c>
      <c r="F180" s="9">
        <f>2348000/100000</f>
        <v>23.48</v>
      </c>
      <c r="G180" s="9">
        <f>2338000/100000</f>
        <v>23.38</v>
      </c>
      <c r="H180" s="9">
        <f>2355000/100000</f>
        <v>23.55</v>
      </c>
      <c r="I180" s="9">
        <f>9600000/100000</f>
        <v>96</v>
      </c>
      <c r="J180" s="9">
        <f>2265000/100000</f>
        <v>22.65</v>
      </c>
      <c r="K180" s="9">
        <f>2260000/100000</f>
        <v>22.6</v>
      </c>
    </row>
    <row r="181" spans="1:11" ht="15">
      <c r="A181" s="6">
        <v>40206.166666666664</v>
      </c>
      <c r="B181" s="9">
        <f t="shared" si="13"/>
        <v>0</v>
      </c>
      <c r="C181" s="9">
        <f t="shared" si="12"/>
        <v>0</v>
      </c>
      <c r="D181" s="9">
        <f>0/100000</f>
        <v>0</v>
      </c>
      <c r="E181" s="9">
        <f>10000/100000</f>
        <v>0.1</v>
      </c>
      <c r="F181" s="9">
        <f>2327000/100000</f>
        <v>23.27</v>
      </c>
      <c r="G181" s="9">
        <f>2312000/100000</f>
        <v>23.12</v>
      </c>
      <c r="H181" s="9">
        <f>2338000/100000</f>
        <v>23.38</v>
      </c>
      <c r="I181" s="9">
        <f>9700000/100000</f>
        <v>97</v>
      </c>
      <c r="J181" s="9">
        <f>2260000/100000</f>
        <v>22.6</v>
      </c>
      <c r="K181" s="9">
        <f>2240000/100000</f>
        <v>22.4</v>
      </c>
    </row>
    <row r="182" spans="1:11" ht="15">
      <c r="A182" s="6">
        <v>40206.208333333336</v>
      </c>
      <c r="B182" s="9">
        <f t="shared" si="13"/>
        <v>0</v>
      </c>
      <c r="C182" s="9">
        <f t="shared" si="12"/>
        <v>0</v>
      </c>
      <c r="D182" s="9">
        <f>0/100000</f>
        <v>0</v>
      </c>
      <c r="E182" s="9">
        <f>20000/100000</f>
        <v>0.2</v>
      </c>
      <c r="F182" s="9">
        <f>2316000/100000</f>
        <v>23.16</v>
      </c>
      <c r="G182" s="9">
        <f>2298000/100000</f>
        <v>22.98</v>
      </c>
      <c r="H182" s="9">
        <f>2329000/100000</f>
        <v>23.29</v>
      </c>
      <c r="I182" s="9">
        <f>9700000/100000</f>
        <v>97</v>
      </c>
      <c r="J182" s="9">
        <f>2260000/100000</f>
        <v>22.6</v>
      </c>
      <c r="K182" s="9">
        <f>2240000/100000</f>
        <v>22.4</v>
      </c>
    </row>
    <row r="183" spans="1:11" ht="15">
      <c r="A183" s="6">
        <v>40206.25</v>
      </c>
      <c r="B183" s="9">
        <f>1600000/100000</f>
        <v>16</v>
      </c>
      <c r="C183" s="9">
        <f t="shared" si="12"/>
        <v>0</v>
      </c>
      <c r="D183" s="9">
        <f>10000/100000</f>
        <v>0.1</v>
      </c>
      <c r="E183" s="9">
        <f>50000/100000</f>
        <v>0.5</v>
      </c>
      <c r="F183" s="9">
        <f>2345000/100000</f>
        <v>23.45</v>
      </c>
      <c r="G183" s="9">
        <f>2298000/100000</f>
        <v>22.98</v>
      </c>
      <c r="H183" s="9">
        <f>2422000/100000</f>
        <v>24.22</v>
      </c>
      <c r="I183" s="9">
        <f>9800000/100000</f>
        <v>98</v>
      </c>
      <c r="J183" s="9">
        <f>2285000/100000</f>
        <v>22.85</v>
      </c>
      <c r="K183" s="9">
        <f>2240000/100000</f>
        <v>22.4</v>
      </c>
    </row>
    <row r="184" spans="1:11" ht="15">
      <c r="A184" s="6">
        <v>40206.291666666664</v>
      </c>
      <c r="B184" s="9">
        <f>2600000/100000</f>
        <v>26</v>
      </c>
      <c r="C184" s="9">
        <f t="shared" si="12"/>
        <v>0</v>
      </c>
      <c r="D184" s="9">
        <f>135000/100000</f>
        <v>1.35</v>
      </c>
      <c r="E184" s="9">
        <f>280000/100000</f>
        <v>2.8</v>
      </c>
      <c r="F184" s="9">
        <f>2554000/100000</f>
        <v>25.54</v>
      </c>
      <c r="G184" s="9">
        <f>2440000/100000</f>
        <v>24.4</v>
      </c>
      <c r="H184" s="9">
        <f>2658000/100000</f>
        <v>26.58</v>
      </c>
      <c r="I184" s="9">
        <f>8900000/100000</f>
        <v>89</v>
      </c>
      <c r="J184" s="9">
        <f>2340000/100000</f>
        <v>23.4</v>
      </c>
      <c r="K184" s="9">
        <f>2230000/100000</f>
        <v>22.3</v>
      </c>
    </row>
    <row r="185" spans="1:11" ht="15">
      <c r="A185" s="6">
        <v>40206.333333333336</v>
      </c>
      <c r="B185" s="9">
        <f>8800000/100000</f>
        <v>88</v>
      </c>
      <c r="C185" s="9">
        <f t="shared" si="12"/>
        <v>0</v>
      </c>
      <c r="D185" s="9">
        <f>245000/100000</f>
        <v>2.45</v>
      </c>
      <c r="E185" s="9">
        <f>350000/100000</f>
        <v>3.5</v>
      </c>
      <c r="F185" s="9">
        <f>2750000/100000</f>
        <v>27.5</v>
      </c>
      <c r="G185" s="9">
        <f>2680000/100000</f>
        <v>26.8</v>
      </c>
      <c r="H185" s="9">
        <f>2833000/100000</f>
        <v>28.33</v>
      </c>
      <c r="I185" s="9">
        <f>7300000/100000</f>
        <v>73</v>
      </c>
      <c r="J185" s="9">
        <f>2190000/100000</f>
        <v>21.9</v>
      </c>
      <c r="K185" s="9">
        <f>2130000/100000</f>
        <v>21.3</v>
      </c>
    </row>
    <row r="186" spans="1:11" ht="15">
      <c r="A186" s="6">
        <v>40206.375</v>
      </c>
      <c r="B186" s="9">
        <f>22400000/100000</f>
        <v>224</v>
      </c>
      <c r="C186" s="9">
        <f t="shared" si="12"/>
        <v>0</v>
      </c>
      <c r="D186" s="9">
        <f>265000/100000</f>
        <v>2.65</v>
      </c>
      <c r="E186" s="9">
        <f>370000/100000</f>
        <v>3.7</v>
      </c>
      <c r="F186" s="9">
        <f>2898000/100000</f>
        <v>28.98</v>
      </c>
      <c r="G186" s="9">
        <f>2797000/100000</f>
        <v>27.97</v>
      </c>
      <c r="H186" s="9">
        <f>3028000/100000</f>
        <v>30.28</v>
      </c>
      <c r="I186" s="9">
        <f>6200000/100000</f>
        <v>62</v>
      </c>
      <c r="J186" s="9">
        <f>2065000/100000</f>
        <v>20.65</v>
      </c>
      <c r="K186" s="9">
        <f>1960000/100000</f>
        <v>19.6</v>
      </c>
    </row>
    <row r="187" spans="1:11" ht="15">
      <c r="A187" s="6">
        <v>40206.416666666664</v>
      </c>
      <c r="B187" s="9">
        <f>29100000/100000</f>
        <v>291</v>
      </c>
      <c r="C187" s="9">
        <f aca="true" t="shared" si="14" ref="C187:C218">0/100000</f>
        <v>0</v>
      </c>
      <c r="D187" s="9">
        <f>255000/100000</f>
        <v>2.55</v>
      </c>
      <c r="E187" s="9">
        <f>350000/100000</f>
        <v>3.5</v>
      </c>
      <c r="F187" s="9">
        <f>3004000/100000</f>
        <v>30.04</v>
      </c>
      <c r="G187" s="9">
        <f>2917000/100000</f>
        <v>29.17</v>
      </c>
      <c r="H187" s="9">
        <f>3128000/100000</f>
        <v>31.28</v>
      </c>
      <c r="I187" s="9">
        <f>5600000/100000</f>
        <v>56</v>
      </c>
      <c r="J187" s="9">
        <f>2020000/100000</f>
        <v>20.2</v>
      </c>
      <c r="K187" s="9">
        <f>1960000/100000</f>
        <v>19.6</v>
      </c>
    </row>
    <row r="188" spans="1:11" ht="15">
      <c r="A188" s="6">
        <v>40206.458333333336</v>
      </c>
      <c r="B188" s="9">
        <f>43500000/100000</f>
        <v>435</v>
      </c>
      <c r="C188" s="9">
        <f t="shared" si="14"/>
        <v>0</v>
      </c>
      <c r="D188" s="9">
        <f>355000/100000</f>
        <v>3.55</v>
      </c>
      <c r="E188" s="9">
        <f>530000/100000</f>
        <v>5.3</v>
      </c>
      <c r="F188" s="9">
        <f>3125000/100000</f>
        <v>31.25</v>
      </c>
      <c r="G188" s="9">
        <f>3037000/100000</f>
        <v>30.37</v>
      </c>
      <c r="H188" s="9">
        <f>3225000/100000</f>
        <v>32.25</v>
      </c>
      <c r="I188" s="9">
        <f>5200000/100000</f>
        <v>52</v>
      </c>
      <c r="J188" s="9">
        <f>2005000/100000</f>
        <v>20.05</v>
      </c>
      <c r="K188" s="9">
        <f>1930000/100000</f>
        <v>19.3</v>
      </c>
    </row>
    <row r="189" spans="1:11" ht="15">
      <c r="A189" s="6">
        <v>40206.5</v>
      </c>
      <c r="B189" s="9">
        <f>36100000/100000</f>
        <v>361</v>
      </c>
      <c r="C189" s="9">
        <f t="shared" si="14"/>
        <v>0</v>
      </c>
      <c r="D189" s="9">
        <f>385000/100000</f>
        <v>3.85</v>
      </c>
      <c r="E189" s="9">
        <f>500000/100000</f>
        <v>5</v>
      </c>
      <c r="F189" s="9">
        <f>3184000/100000</f>
        <v>31.84</v>
      </c>
      <c r="G189" s="9">
        <f>3097000/100000</f>
        <v>30.97</v>
      </c>
      <c r="H189" s="9">
        <f>3261000/100000</f>
        <v>32.61</v>
      </c>
      <c r="I189" s="9">
        <f>5000000/100000</f>
        <v>50</v>
      </c>
      <c r="J189" s="9">
        <f>1995000/100000</f>
        <v>19.95</v>
      </c>
      <c r="K189" s="9">
        <f>1900000/100000</f>
        <v>19</v>
      </c>
    </row>
    <row r="190" spans="1:11" ht="15">
      <c r="A190" s="6">
        <v>40206.541666666664</v>
      </c>
      <c r="B190" s="9">
        <f>36500000/100000</f>
        <v>365</v>
      </c>
      <c r="C190" s="9">
        <f t="shared" si="14"/>
        <v>0</v>
      </c>
      <c r="D190" s="9">
        <f>425000/100000</f>
        <v>4.25</v>
      </c>
      <c r="E190" s="9">
        <f>500000/100000</f>
        <v>5</v>
      </c>
      <c r="F190" s="9">
        <f>3191000/100000</f>
        <v>31.91</v>
      </c>
      <c r="G190" s="9">
        <f>3141000/100000</f>
        <v>31.41</v>
      </c>
      <c r="H190" s="9">
        <f>3243000/100000</f>
        <v>32.43</v>
      </c>
      <c r="I190" s="9">
        <f>5000000/100000</f>
        <v>50</v>
      </c>
      <c r="J190" s="9">
        <f>2000000/100000</f>
        <v>20</v>
      </c>
      <c r="K190" s="9">
        <f>1930000/100000</f>
        <v>19.3</v>
      </c>
    </row>
    <row r="191" spans="1:11" ht="15">
      <c r="A191" s="6">
        <v>40206.583333333336</v>
      </c>
      <c r="B191" s="9">
        <f>33500000/100000</f>
        <v>335</v>
      </c>
      <c r="C191" s="9">
        <f t="shared" si="14"/>
        <v>0</v>
      </c>
      <c r="D191" s="9">
        <f>440000/100000</f>
        <v>4.4</v>
      </c>
      <c r="E191" s="9">
        <f>560000/100000</f>
        <v>5.6</v>
      </c>
      <c r="F191" s="9">
        <f>3182000/100000</f>
        <v>31.82</v>
      </c>
      <c r="G191" s="9">
        <f>3122000/100000</f>
        <v>31.22</v>
      </c>
      <c r="H191" s="9">
        <f>3223000/100000</f>
        <v>32.23</v>
      </c>
      <c r="I191" s="9">
        <f>5200000/100000</f>
        <v>52</v>
      </c>
      <c r="J191" s="9">
        <f>2060000/100000</f>
        <v>20.6</v>
      </c>
      <c r="K191" s="9">
        <f>2020000/100000</f>
        <v>20.2</v>
      </c>
    </row>
    <row r="192" spans="1:11" ht="15">
      <c r="A192" s="6">
        <v>40206.625</v>
      </c>
      <c r="B192" s="9">
        <f>26000000/100000</f>
        <v>260</v>
      </c>
      <c r="C192" s="9">
        <f t="shared" si="14"/>
        <v>0</v>
      </c>
      <c r="D192" s="9">
        <f>445000/100000</f>
        <v>4.45</v>
      </c>
      <c r="E192" s="9">
        <f>590000/100000</f>
        <v>5.9</v>
      </c>
      <c r="F192" s="9">
        <f>3134000/100000</f>
        <v>31.34</v>
      </c>
      <c r="G192" s="9">
        <f>3076000/100000</f>
        <v>30.76</v>
      </c>
      <c r="H192" s="9">
        <f>3189000/100000</f>
        <v>31.89</v>
      </c>
      <c r="I192" s="9">
        <f>5300000/100000</f>
        <v>53</v>
      </c>
      <c r="J192" s="9">
        <f>2030000/100000</f>
        <v>20.3</v>
      </c>
      <c r="K192" s="9">
        <f>1920000/100000</f>
        <v>19.2</v>
      </c>
    </row>
    <row r="193" spans="1:11" ht="15">
      <c r="A193" s="6">
        <v>40206.666666666664</v>
      </c>
      <c r="B193" s="9">
        <f>16000000/100000</f>
        <v>160</v>
      </c>
      <c r="C193" s="9">
        <f t="shared" si="14"/>
        <v>0</v>
      </c>
      <c r="D193" s="9">
        <f>520000/100000</f>
        <v>5.2</v>
      </c>
      <c r="E193" s="9">
        <f>640000/100000</f>
        <v>6.4</v>
      </c>
      <c r="F193" s="9">
        <f>3004000/100000</f>
        <v>30.04</v>
      </c>
      <c r="G193" s="9">
        <f>2961000/100000</f>
        <v>29.61</v>
      </c>
      <c r="H193" s="9">
        <f>3058000/100000</f>
        <v>30.58</v>
      </c>
      <c r="I193" s="9">
        <f>5700000/100000</f>
        <v>57</v>
      </c>
      <c r="J193" s="9">
        <f>2025000/100000</f>
        <v>20.25</v>
      </c>
      <c r="K193" s="9">
        <f>1930000/100000</f>
        <v>19.3</v>
      </c>
    </row>
    <row r="194" spans="1:11" ht="15">
      <c r="A194" s="6">
        <v>40206.708333333336</v>
      </c>
      <c r="B194" s="9">
        <f>9400000/100000</f>
        <v>94</v>
      </c>
      <c r="C194" s="9">
        <f t="shared" si="14"/>
        <v>0</v>
      </c>
      <c r="D194" s="9">
        <f>470000/100000</f>
        <v>4.7</v>
      </c>
      <c r="E194" s="9">
        <f>570000/100000</f>
        <v>5.7</v>
      </c>
      <c r="F194" s="9">
        <f>2884000/100000</f>
        <v>28.84</v>
      </c>
      <c r="G194" s="9">
        <f>2783000/100000</f>
        <v>27.83</v>
      </c>
      <c r="H194" s="9">
        <f>2979000/100000</f>
        <v>29.79</v>
      </c>
      <c r="I194" s="9">
        <f>5500000/100000</f>
        <v>55</v>
      </c>
      <c r="J194" s="9">
        <f>1870000/100000</f>
        <v>18.7</v>
      </c>
      <c r="K194" s="9">
        <f>1770000/100000</f>
        <v>17.7</v>
      </c>
    </row>
    <row r="195" spans="1:11" ht="15">
      <c r="A195" s="6">
        <v>40206.75</v>
      </c>
      <c r="B195" s="9">
        <f>1000000/100000</f>
        <v>10</v>
      </c>
      <c r="C195" s="9">
        <f t="shared" si="14"/>
        <v>0</v>
      </c>
      <c r="D195" s="9">
        <f>410000/100000</f>
        <v>4.1</v>
      </c>
      <c r="E195" s="9">
        <f>760000/100000</f>
        <v>7.6</v>
      </c>
      <c r="F195" s="9">
        <f>2668000/100000</f>
        <v>26.68</v>
      </c>
      <c r="G195" s="9">
        <f>2598000/100000</f>
        <v>25.98</v>
      </c>
      <c r="H195" s="9">
        <f>2768000/100000</f>
        <v>27.68</v>
      </c>
      <c r="I195" s="9">
        <f>6900000/100000</f>
        <v>69</v>
      </c>
      <c r="J195" s="9">
        <f>2040000/100000</f>
        <v>20.4</v>
      </c>
      <c r="K195" s="9">
        <f>1910000/100000</f>
        <v>19.1</v>
      </c>
    </row>
    <row r="196" spans="1:11" ht="15">
      <c r="A196" s="6">
        <v>40206.791666666664</v>
      </c>
      <c r="B196" s="9">
        <f aca="true" t="shared" si="15" ref="B196:B206">0/100000</f>
        <v>0</v>
      </c>
      <c r="C196" s="9">
        <f t="shared" si="14"/>
        <v>0</v>
      </c>
      <c r="D196" s="9">
        <f>320000/100000</f>
        <v>3.2</v>
      </c>
      <c r="E196" s="9">
        <f>410000/100000</f>
        <v>4.1</v>
      </c>
      <c r="F196" s="9">
        <f>2564000/100000</f>
        <v>25.64</v>
      </c>
      <c r="G196" s="9">
        <f>2535000/100000</f>
        <v>25.35</v>
      </c>
      <c r="H196" s="9">
        <f>2604000/100000</f>
        <v>26.04</v>
      </c>
      <c r="I196" s="9">
        <f>7600000/100000</f>
        <v>76</v>
      </c>
      <c r="J196" s="9">
        <f>2095000/100000</f>
        <v>20.95</v>
      </c>
      <c r="K196" s="9">
        <f>2070000/100000</f>
        <v>20.7</v>
      </c>
    </row>
    <row r="197" spans="1:11" ht="15">
      <c r="A197" s="6">
        <v>40206.833333333336</v>
      </c>
      <c r="B197" s="9">
        <f t="shared" si="15"/>
        <v>0</v>
      </c>
      <c r="C197" s="9">
        <f t="shared" si="14"/>
        <v>0</v>
      </c>
      <c r="D197" s="9">
        <f>255000/100000</f>
        <v>2.55</v>
      </c>
      <c r="E197" s="9">
        <f>330000/100000</f>
        <v>3.3</v>
      </c>
      <c r="F197" s="9">
        <f>2498000/100000</f>
        <v>24.98</v>
      </c>
      <c r="G197" s="9">
        <f>2472000/100000</f>
        <v>24.72</v>
      </c>
      <c r="H197" s="9">
        <f>2525000/100000</f>
        <v>25.25</v>
      </c>
      <c r="I197" s="9">
        <f>8000000/100000</f>
        <v>80</v>
      </c>
      <c r="J197" s="9">
        <f>2110000/100000</f>
        <v>21.1</v>
      </c>
      <c r="K197" s="9">
        <f>2100000/100000</f>
        <v>21</v>
      </c>
    </row>
    <row r="198" spans="1:11" ht="15">
      <c r="A198" s="6">
        <v>40206.875</v>
      </c>
      <c r="B198" s="9">
        <f t="shared" si="15"/>
        <v>0</v>
      </c>
      <c r="C198" s="9">
        <f t="shared" si="14"/>
        <v>0</v>
      </c>
      <c r="D198" s="9">
        <f>175000/100000</f>
        <v>1.75</v>
      </c>
      <c r="E198" s="9">
        <f>230000/100000</f>
        <v>2.3</v>
      </c>
      <c r="F198" s="9">
        <f>2470000/100000</f>
        <v>24.7</v>
      </c>
      <c r="G198" s="9">
        <f>2455000/100000</f>
        <v>24.55</v>
      </c>
      <c r="H198" s="9">
        <f>2483000/100000</f>
        <v>24.83</v>
      </c>
      <c r="I198" s="9">
        <f>8200000/100000</f>
        <v>82</v>
      </c>
      <c r="J198" s="9">
        <f>2110000/100000</f>
        <v>21.1</v>
      </c>
      <c r="K198" s="9">
        <f>2100000/100000</f>
        <v>21</v>
      </c>
    </row>
    <row r="199" spans="1:11" ht="15">
      <c r="A199" s="6">
        <v>40206.916666666664</v>
      </c>
      <c r="B199" s="9">
        <f t="shared" si="15"/>
        <v>0</v>
      </c>
      <c r="C199" s="9">
        <f t="shared" si="14"/>
        <v>0</v>
      </c>
      <c r="D199" s="9">
        <f>55000/100000</f>
        <v>0.55</v>
      </c>
      <c r="E199" s="9">
        <f>140000/100000</f>
        <v>1.4</v>
      </c>
      <c r="F199" s="9">
        <f>2448000/100000</f>
        <v>24.48</v>
      </c>
      <c r="G199" s="9">
        <f>2434000/100000</f>
        <v>24.34</v>
      </c>
      <c r="H199" s="9">
        <f>2455000/100000</f>
        <v>24.55</v>
      </c>
      <c r="I199" s="9">
        <f>8400000/100000</f>
        <v>84</v>
      </c>
      <c r="J199" s="9">
        <f>2145000/100000</f>
        <v>21.45</v>
      </c>
      <c r="K199" s="9">
        <f>2140000/100000</f>
        <v>21.4</v>
      </c>
    </row>
    <row r="200" spans="1:11" ht="15">
      <c r="A200" s="6">
        <v>40206.958333333336</v>
      </c>
      <c r="B200" s="9">
        <f t="shared" si="15"/>
        <v>0</v>
      </c>
      <c r="C200" s="9">
        <f t="shared" si="14"/>
        <v>0</v>
      </c>
      <c r="D200" s="9">
        <f>0/100000</f>
        <v>0</v>
      </c>
      <c r="E200" s="9">
        <f>20000/100000</f>
        <v>0.2</v>
      </c>
      <c r="F200" s="9">
        <f>2398000/100000</f>
        <v>23.98</v>
      </c>
      <c r="G200" s="9">
        <f>2378000/100000</f>
        <v>23.78</v>
      </c>
      <c r="H200" s="9">
        <f>2429000/100000</f>
        <v>24.29</v>
      </c>
      <c r="I200" s="9">
        <f>8600000/100000</f>
        <v>86</v>
      </c>
      <c r="J200" s="9">
        <f>2135000/100000</f>
        <v>21.35</v>
      </c>
      <c r="K200" s="9">
        <f>2120000/100000</f>
        <v>21.2</v>
      </c>
    </row>
    <row r="201" spans="1:11" ht="15">
      <c r="A201" s="6">
        <v>40207</v>
      </c>
      <c r="B201" s="9">
        <f t="shared" si="15"/>
        <v>0</v>
      </c>
      <c r="C201" s="9">
        <f t="shared" si="14"/>
        <v>0</v>
      </c>
      <c r="D201" s="9">
        <f>15000/100000</f>
        <v>0.15</v>
      </c>
      <c r="E201" s="9">
        <f>70000/100000</f>
        <v>0.7</v>
      </c>
      <c r="F201" s="9">
        <f>2369000/100000</f>
        <v>23.69</v>
      </c>
      <c r="G201" s="9">
        <f>2364000/100000</f>
        <v>23.64</v>
      </c>
      <c r="H201" s="9">
        <f>2381000/100000</f>
        <v>23.81</v>
      </c>
      <c r="I201" s="9">
        <f>8600000/100000</f>
        <v>86</v>
      </c>
      <c r="J201" s="9">
        <f>2110000/100000</f>
        <v>21.1</v>
      </c>
      <c r="K201" s="9">
        <f>2090000/100000</f>
        <v>20.9</v>
      </c>
    </row>
    <row r="202" spans="1:11" ht="15">
      <c r="A202" s="6">
        <v>40207.041666666664</v>
      </c>
      <c r="B202" s="9">
        <f t="shared" si="15"/>
        <v>0</v>
      </c>
      <c r="C202" s="9">
        <f t="shared" si="14"/>
        <v>0</v>
      </c>
      <c r="D202" s="9">
        <f>25000/100000</f>
        <v>0.25</v>
      </c>
      <c r="E202" s="9">
        <f>80000/100000</f>
        <v>0.8</v>
      </c>
      <c r="F202" s="9">
        <f>2339000/100000</f>
        <v>23.39</v>
      </c>
      <c r="G202" s="9">
        <f>2303000/100000</f>
        <v>23.03</v>
      </c>
      <c r="H202" s="9">
        <f>2370000/100000</f>
        <v>23.7</v>
      </c>
      <c r="I202" s="9">
        <f>8600000/100000</f>
        <v>86</v>
      </c>
      <c r="J202" s="9">
        <f>2075000/100000</f>
        <v>20.75</v>
      </c>
      <c r="K202" s="9">
        <f>2060000/100000</f>
        <v>20.6</v>
      </c>
    </row>
    <row r="203" spans="1:11" ht="15">
      <c r="A203" s="6">
        <v>40207.083333333336</v>
      </c>
      <c r="B203" s="9">
        <f t="shared" si="15"/>
        <v>0</v>
      </c>
      <c r="C203" s="9">
        <f t="shared" si="14"/>
        <v>0</v>
      </c>
      <c r="D203" s="9">
        <f>5000/100000</f>
        <v>0.05</v>
      </c>
      <c r="E203" s="9">
        <f>70000/100000</f>
        <v>0.7</v>
      </c>
      <c r="F203" s="9">
        <f>2295000/100000</f>
        <v>22.95</v>
      </c>
      <c r="G203" s="9">
        <f>2272000/100000</f>
        <v>22.72</v>
      </c>
      <c r="H203" s="9">
        <f>2314000/100000</f>
        <v>23.14</v>
      </c>
      <c r="I203" s="9">
        <f>8900000/100000</f>
        <v>89</v>
      </c>
      <c r="J203" s="9">
        <f>2080000/100000</f>
        <v>20.8</v>
      </c>
      <c r="K203" s="9">
        <f>2070000/100000</f>
        <v>20.7</v>
      </c>
    </row>
    <row r="204" spans="1:11" ht="15">
      <c r="A204" s="6">
        <v>40207.125</v>
      </c>
      <c r="B204" s="9">
        <f t="shared" si="15"/>
        <v>0</v>
      </c>
      <c r="C204" s="9">
        <f t="shared" si="14"/>
        <v>0</v>
      </c>
      <c r="D204" s="9">
        <f>0/100000</f>
        <v>0</v>
      </c>
      <c r="E204" s="9">
        <f>0/100000</f>
        <v>0</v>
      </c>
      <c r="F204" s="9">
        <f>2244000/100000</f>
        <v>22.44</v>
      </c>
      <c r="G204" s="9">
        <f>2217000/100000</f>
        <v>22.17</v>
      </c>
      <c r="H204" s="9">
        <f>2272000/100000</f>
        <v>22.72</v>
      </c>
      <c r="I204" s="9">
        <f>9100000/100000</f>
        <v>91</v>
      </c>
      <c r="J204" s="9">
        <f>2070000/100000</f>
        <v>20.7</v>
      </c>
      <c r="K204" s="9">
        <f>2060000/100000</f>
        <v>20.6</v>
      </c>
    </row>
    <row r="205" spans="1:11" ht="15">
      <c r="A205" s="6">
        <v>40207.166666666664</v>
      </c>
      <c r="B205" s="9">
        <f t="shared" si="15"/>
        <v>0</v>
      </c>
      <c r="C205" s="9">
        <f t="shared" si="14"/>
        <v>0</v>
      </c>
      <c r="D205" s="9">
        <f>0/100000</f>
        <v>0</v>
      </c>
      <c r="E205" s="9">
        <f>20000/100000</f>
        <v>0.2</v>
      </c>
      <c r="F205" s="9">
        <f>2196000/100000</f>
        <v>21.96</v>
      </c>
      <c r="G205" s="9">
        <f>2186000/100000</f>
        <v>21.86</v>
      </c>
      <c r="H205" s="9">
        <f>2210000/100000</f>
        <v>22.1</v>
      </c>
      <c r="I205" s="9">
        <f>9300000/100000</f>
        <v>93</v>
      </c>
      <c r="J205" s="9">
        <f>2060000/100000</f>
        <v>20.6</v>
      </c>
      <c r="K205" s="9">
        <f>2050000/100000</f>
        <v>20.5</v>
      </c>
    </row>
    <row r="206" spans="1:11" ht="15">
      <c r="A206" s="6">
        <v>40207.208333333336</v>
      </c>
      <c r="B206" s="9">
        <f t="shared" si="15"/>
        <v>0</v>
      </c>
      <c r="C206" s="9">
        <f t="shared" si="14"/>
        <v>0</v>
      </c>
      <c r="D206" s="9">
        <f>0/100000</f>
        <v>0</v>
      </c>
      <c r="E206" s="9">
        <f>0/100000</f>
        <v>0</v>
      </c>
      <c r="F206" s="9">
        <f>2186000/100000</f>
        <v>21.86</v>
      </c>
      <c r="G206" s="9">
        <f>2174000/100000</f>
        <v>21.74</v>
      </c>
      <c r="H206" s="9">
        <f>2195000/100000</f>
        <v>21.95</v>
      </c>
      <c r="I206" s="9">
        <f>9400000/100000</f>
        <v>94</v>
      </c>
      <c r="J206" s="9">
        <f>2075000/100000</f>
        <v>20.75</v>
      </c>
      <c r="K206" s="9">
        <f>2070000/100000</f>
        <v>20.7</v>
      </c>
    </row>
    <row r="207" spans="1:11" ht="15">
      <c r="A207" s="6">
        <v>40207.25</v>
      </c>
      <c r="B207" s="9">
        <f>1200000/100000</f>
        <v>12</v>
      </c>
      <c r="C207" s="9">
        <f t="shared" si="14"/>
        <v>0</v>
      </c>
      <c r="D207" s="9">
        <f>5000/100000</f>
        <v>0.05</v>
      </c>
      <c r="E207" s="9">
        <f>50000/100000</f>
        <v>0.5</v>
      </c>
      <c r="F207" s="9">
        <f>2218000/100000</f>
        <v>22.18</v>
      </c>
      <c r="G207" s="9">
        <f>2192000/100000</f>
        <v>21.92</v>
      </c>
      <c r="H207" s="9">
        <f>2283000/100000</f>
        <v>22.83</v>
      </c>
      <c r="I207" s="9">
        <f>9500000/100000</f>
        <v>95</v>
      </c>
      <c r="J207" s="9">
        <f>2125000/100000</f>
        <v>21.25</v>
      </c>
      <c r="K207" s="9">
        <f>2090000/100000</f>
        <v>20.9</v>
      </c>
    </row>
    <row r="208" spans="1:11" ht="15">
      <c r="A208" s="6">
        <v>40207.291666666664</v>
      </c>
      <c r="B208" s="9">
        <f>2100000/100000</f>
        <v>21</v>
      </c>
      <c r="C208" s="9">
        <f t="shared" si="14"/>
        <v>0</v>
      </c>
      <c r="D208" s="9">
        <f>55000/100000</f>
        <v>0.55</v>
      </c>
      <c r="E208" s="9">
        <f>100000/100000</f>
        <v>1</v>
      </c>
      <c r="F208" s="9">
        <f>2470000/100000</f>
        <v>24.7</v>
      </c>
      <c r="G208" s="9">
        <f>2312000/100000</f>
        <v>23.12</v>
      </c>
      <c r="H208" s="9">
        <f>2612000/100000</f>
        <v>26.12</v>
      </c>
      <c r="I208" s="9">
        <f>8700000/100000</f>
        <v>87</v>
      </c>
      <c r="J208" s="9">
        <f>2215000/100000</f>
        <v>22.15</v>
      </c>
      <c r="K208" s="9">
        <f>2210000/100000</f>
        <v>22.1</v>
      </c>
    </row>
    <row r="209" spans="1:11" ht="15">
      <c r="A209" s="6">
        <v>40207.333333333336</v>
      </c>
      <c r="B209" s="9">
        <f>10100000/100000</f>
        <v>101</v>
      </c>
      <c r="C209" s="9">
        <f t="shared" si="14"/>
        <v>0</v>
      </c>
      <c r="D209" s="9">
        <f>175000/100000</f>
        <v>1.75</v>
      </c>
      <c r="E209" s="9">
        <f>290000/100000</f>
        <v>2.9</v>
      </c>
      <c r="F209" s="9">
        <f>2700000/100000</f>
        <v>27</v>
      </c>
      <c r="G209" s="9">
        <f>2596000/100000</f>
        <v>25.96</v>
      </c>
      <c r="H209" s="9">
        <f>2806000/100000</f>
        <v>28.06</v>
      </c>
      <c r="I209" s="9">
        <f>7400000/100000</f>
        <v>74</v>
      </c>
      <c r="J209" s="9">
        <f>2170000/100000</f>
        <v>21.7</v>
      </c>
      <c r="K209" s="9">
        <f>2100000/100000</f>
        <v>21</v>
      </c>
    </row>
    <row r="210" spans="1:11" ht="15">
      <c r="A210" s="6">
        <v>40207.375</v>
      </c>
      <c r="B210" s="9">
        <f>15200000/100000</f>
        <v>152</v>
      </c>
      <c r="C210" s="9">
        <f t="shared" si="14"/>
        <v>0</v>
      </c>
      <c r="D210" s="9">
        <f>190000/100000</f>
        <v>1.9</v>
      </c>
      <c r="E210" s="9">
        <f>260000/100000</f>
        <v>2.6</v>
      </c>
      <c r="F210" s="9">
        <f>2826000/100000</f>
        <v>28.26</v>
      </c>
      <c r="G210" s="9">
        <f>2766000/100000</f>
        <v>27.66</v>
      </c>
      <c r="H210" s="9">
        <f>2873000/100000</f>
        <v>28.73</v>
      </c>
      <c r="I210" s="9">
        <f>6600000/100000</f>
        <v>66</v>
      </c>
      <c r="J210" s="9">
        <f>2105000/100000</f>
        <v>21.05</v>
      </c>
      <c r="K210" s="9">
        <f>2080000/100000</f>
        <v>20.8</v>
      </c>
    </row>
    <row r="211" spans="1:11" ht="15">
      <c r="A211" s="6">
        <v>40207.416666666664</v>
      </c>
      <c r="B211" s="9">
        <f>15900000/100000</f>
        <v>159</v>
      </c>
      <c r="C211" s="9">
        <f t="shared" si="14"/>
        <v>0</v>
      </c>
      <c r="D211" s="9">
        <f>245000/100000</f>
        <v>2.45</v>
      </c>
      <c r="E211" s="9">
        <f>300000/100000</f>
        <v>3</v>
      </c>
      <c r="F211" s="9">
        <f>2888000/100000</f>
        <v>28.88</v>
      </c>
      <c r="G211" s="9">
        <f>2832000/100000</f>
        <v>28.32</v>
      </c>
      <c r="H211" s="9">
        <f>2930000/100000</f>
        <v>29.3</v>
      </c>
      <c r="I211" s="9">
        <f>6300000/100000</f>
        <v>63</v>
      </c>
      <c r="J211" s="9">
        <f>2100000/100000</f>
        <v>21</v>
      </c>
      <c r="K211" s="9">
        <f>2060000/100000</f>
        <v>20.6</v>
      </c>
    </row>
    <row r="212" spans="1:11" ht="15">
      <c r="A212" s="6">
        <v>40207.458333333336</v>
      </c>
      <c r="B212" s="9">
        <f>25300000/100000</f>
        <v>253</v>
      </c>
      <c r="C212" s="9">
        <f t="shared" si="14"/>
        <v>0</v>
      </c>
      <c r="D212" s="9">
        <f>310000/100000</f>
        <v>3.1</v>
      </c>
      <c r="E212" s="9">
        <f>410000/100000</f>
        <v>4.1</v>
      </c>
      <c r="F212" s="9">
        <f>3005000/100000</f>
        <v>30.05</v>
      </c>
      <c r="G212" s="9">
        <f>2926000/100000</f>
        <v>29.26</v>
      </c>
      <c r="H212" s="9">
        <f>3079000/100000</f>
        <v>30.79</v>
      </c>
      <c r="I212" s="9">
        <f>5800000/100000</f>
        <v>58</v>
      </c>
      <c r="J212" s="9">
        <f>2065000/100000</f>
        <v>20.65</v>
      </c>
      <c r="K212" s="9">
        <f>2020000/100000</f>
        <v>20.2</v>
      </c>
    </row>
    <row r="213" spans="1:11" ht="15">
      <c r="A213" s="6">
        <v>40207.5</v>
      </c>
      <c r="B213" s="9">
        <f>32800000/100000</f>
        <v>328</v>
      </c>
      <c r="C213" s="9">
        <f t="shared" si="14"/>
        <v>0</v>
      </c>
      <c r="D213" s="9">
        <f>340000/100000</f>
        <v>3.4</v>
      </c>
      <c r="E213" s="9">
        <f>430000/100000</f>
        <v>4.3</v>
      </c>
      <c r="F213" s="9">
        <f>3114000/100000</f>
        <v>31.14</v>
      </c>
      <c r="G213" s="9">
        <f>3013000/100000</f>
        <v>30.13</v>
      </c>
      <c r="H213" s="9">
        <f>3192000/100000</f>
        <v>31.92</v>
      </c>
      <c r="I213" s="9">
        <f>5500000/100000</f>
        <v>55</v>
      </c>
      <c r="J213" s="9">
        <f>2085000/100000</f>
        <v>20.85</v>
      </c>
      <c r="K213" s="9">
        <f>2010000/100000</f>
        <v>20.1</v>
      </c>
    </row>
    <row r="214" spans="1:11" ht="15">
      <c r="A214" s="6">
        <v>40207.541666666664</v>
      </c>
      <c r="B214" s="9">
        <f>36000000/100000</f>
        <v>360</v>
      </c>
      <c r="C214" s="9">
        <f t="shared" si="14"/>
        <v>0</v>
      </c>
      <c r="D214" s="9">
        <f>360000/100000</f>
        <v>3.6</v>
      </c>
      <c r="E214" s="9">
        <f>440000/100000</f>
        <v>4.4</v>
      </c>
      <c r="F214" s="9">
        <f>3168000/100000</f>
        <v>31.68</v>
      </c>
      <c r="G214" s="9">
        <f>3069000/100000</f>
        <v>30.69</v>
      </c>
      <c r="H214" s="9">
        <f>3219000/100000</f>
        <v>32.19</v>
      </c>
      <c r="I214" s="9">
        <f>5300000/100000</f>
        <v>53</v>
      </c>
      <c r="J214" s="9">
        <f>2060000/100000</f>
        <v>20.6</v>
      </c>
      <c r="K214" s="9">
        <f>2000000/100000</f>
        <v>20</v>
      </c>
    </row>
    <row r="215" spans="1:11" ht="15">
      <c r="A215" s="6">
        <v>40207.583333333336</v>
      </c>
      <c r="B215" s="9">
        <f>32400000/100000</f>
        <v>324</v>
      </c>
      <c r="C215" s="9">
        <f t="shared" si="14"/>
        <v>0</v>
      </c>
      <c r="D215" s="9">
        <f>425000/100000</f>
        <v>4.25</v>
      </c>
      <c r="E215" s="9">
        <f>540000/100000</f>
        <v>5.4</v>
      </c>
      <c r="F215" s="9">
        <f>3147000/100000</f>
        <v>31.47</v>
      </c>
      <c r="G215" s="9">
        <f>3077000/100000</f>
        <v>30.77</v>
      </c>
      <c r="H215" s="9">
        <f>3234000/100000</f>
        <v>32.34</v>
      </c>
      <c r="I215" s="9">
        <f>5400000/100000</f>
        <v>54</v>
      </c>
      <c r="J215" s="9">
        <f>2080000/100000</f>
        <v>20.8</v>
      </c>
      <c r="K215" s="9">
        <f>2040000/100000</f>
        <v>20.4</v>
      </c>
    </row>
    <row r="216" spans="1:11" ht="15">
      <c r="A216" s="6">
        <v>40207.625</v>
      </c>
      <c r="B216" s="9">
        <f>26000000/100000</f>
        <v>260</v>
      </c>
      <c r="C216" s="9">
        <f t="shared" si="14"/>
        <v>0</v>
      </c>
      <c r="D216" s="9">
        <f>450000/100000</f>
        <v>4.5</v>
      </c>
      <c r="E216" s="9">
        <f>560000/100000</f>
        <v>5.6</v>
      </c>
      <c r="F216" s="9">
        <f>3089000/100000</f>
        <v>30.89</v>
      </c>
      <c r="G216" s="9">
        <f>3057000/100000</f>
        <v>30.57</v>
      </c>
      <c r="H216" s="9">
        <f>3143000/100000</f>
        <v>31.43</v>
      </c>
      <c r="I216" s="9">
        <f>5600000/100000</f>
        <v>56</v>
      </c>
      <c r="J216" s="9">
        <f>2075000/100000</f>
        <v>20.75</v>
      </c>
      <c r="K216" s="9">
        <f>2020000/100000</f>
        <v>20.2</v>
      </c>
    </row>
    <row r="217" spans="1:11" ht="15">
      <c r="A217" s="6">
        <v>40207.666666666664</v>
      </c>
      <c r="B217" s="9">
        <f>16600000/100000</f>
        <v>166</v>
      </c>
      <c r="C217" s="9">
        <f t="shared" si="14"/>
        <v>0</v>
      </c>
      <c r="D217" s="9">
        <f>450000/100000</f>
        <v>4.5</v>
      </c>
      <c r="E217" s="9">
        <f>600000/100000</f>
        <v>6</v>
      </c>
      <c r="F217" s="9">
        <f>3002000/100000</f>
        <v>30.02</v>
      </c>
      <c r="G217" s="9">
        <f>2962000/100000</f>
        <v>29.62</v>
      </c>
      <c r="H217" s="9">
        <f>3038000/100000</f>
        <v>30.38</v>
      </c>
      <c r="I217" s="9">
        <f>5900000/100000</f>
        <v>59</v>
      </c>
      <c r="J217" s="9">
        <f>2095000/100000</f>
        <v>20.95</v>
      </c>
      <c r="K217" s="9">
        <f>2040000/100000</f>
        <v>20.4</v>
      </c>
    </row>
    <row r="218" spans="1:11" ht="15">
      <c r="A218" s="6">
        <v>40207.708333333336</v>
      </c>
      <c r="B218" s="9">
        <f>6700000/100000</f>
        <v>67</v>
      </c>
      <c r="C218" s="9">
        <f t="shared" si="14"/>
        <v>0</v>
      </c>
      <c r="D218" s="9">
        <f>495000/100000</f>
        <v>4.95</v>
      </c>
      <c r="E218" s="9">
        <f>550000/100000</f>
        <v>5.5</v>
      </c>
      <c r="F218" s="9">
        <f>2850000/100000</f>
        <v>28.5</v>
      </c>
      <c r="G218" s="9">
        <f>2785000/100000</f>
        <v>27.85</v>
      </c>
      <c r="H218" s="9">
        <f>2942000/100000</f>
        <v>29.42</v>
      </c>
      <c r="I218" s="9">
        <f>6600000/100000</f>
        <v>66</v>
      </c>
      <c r="J218" s="9">
        <f>2130000/100000</f>
        <v>21.3</v>
      </c>
      <c r="K218" s="9">
        <f>2110000/100000</f>
        <v>21.1</v>
      </c>
    </row>
    <row r="219" spans="1:11" ht="15">
      <c r="A219" s="6">
        <v>40207.75</v>
      </c>
      <c r="B219" s="9">
        <f>1600000/100000</f>
        <v>16</v>
      </c>
      <c r="C219" s="9">
        <f aca="true" t="shared" si="16" ref="C219:C231">0/100000</f>
        <v>0</v>
      </c>
      <c r="D219" s="9">
        <f>410000/100000</f>
        <v>4.1</v>
      </c>
      <c r="E219" s="9">
        <f>500000/100000</f>
        <v>5</v>
      </c>
      <c r="F219" s="9">
        <f>2708000/100000</f>
        <v>27.08</v>
      </c>
      <c r="G219" s="9">
        <f>2635000/100000</f>
        <v>26.35</v>
      </c>
      <c r="H219" s="9">
        <f>2807000/100000</f>
        <v>28.07</v>
      </c>
      <c r="I219" s="9">
        <f>7300000/100000</f>
        <v>73</v>
      </c>
      <c r="J219" s="9">
        <f>2160000/100000</f>
        <v>21.6</v>
      </c>
      <c r="K219" s="9">
        <f>2150000/100000</f>
        <v>21.5</v>
      </c>
    </row>
    <row r="220" spans="1:11" ht="15">
      <c r="A220" s="6">
        <v>40207.791666666664</v>
      </c>
      <c r="B220" s="9">
        <f aca="true" t="shared" si="17" ref="B220:B230">0/100000</f>
        <v>0</v>
      </c>
      <c r="C220" s="9">
        <f t="shared" si="16"/>
        <v>0</v>
      </c>
      <c r="D220" s="9">
        <f>345000/100000</f>
        <v>3.45</v>
      </c>
      <c r="E220" s="9">
        <f>650000/100000</f>
        <v>6.5</v>
      </c>
      <c r="F220" s="9">
        <f>2583000/100000</f>
        <v>25.83</v>
      </c>
      <c r="G220" s="9">
        <f>2544000/100000</f>
        <v>25.44</v>
      </c>
      <c r="H220" s="9">
        <f>2628000/100000</f>
        <v>26.28</v>
      </c>
      <c r="I220" s="9">
        <f>7900000/100000</f>
        <v>79</v>
      </c>
      <c r="J220" s="9">
        <f>2170000/100000</f>
        <v>21.7</v>
      </c>
      <c r="K220" s="9">
        <f>2130000/100000</f>
        <v>21.3</v>
      </c>
    </row>
    <row r="221" spans="1:11" ht="15">
      <c r="A221" s="6">
        <v>40207.833333333336</v>
      </c>
      <c r="B221" s="9">
        <f t="shared" si="17"/>
        <v>0</v>
      </c>
      <c r="C221" s="9">
        <f t="shared" si="16"/>
        <v>0</v>
      </c>
      <c r="D221" s="9">
        <f>270000/100000</f>
        <v>2.7</v>
      </c>
      <c r="E221" s="9">
        <f>340000/100000</f>
        <v>3.4</v>
      </c>
      <c r="F221" s="9">
        <f>2516000/100000</f>
        <v>25.16</v>
      </c>
      <c r="G221" s="9">
        <f>2500000/100000</f>
        <v>25</v>
      </c>
      <c r="H221" s="9">
        <f>2541000/100000</f>
        <v>25.41</v>
      </c>
      <c r="I221" s="9">
        <f>8200000/100000</f>
        <v>82</v>
      </c>
      <c r="J221" s="9">
        <f>2175000/100000</f>
        <v>21.75</v>
      </c>
      <c r="K221" s="9">
        <f>2170000/100000</f>
        <v>21.7</v>
      </c>
    </row>
    <row r="222" spans="1:11" ht="15">
      <c r="A222" s="6">
        <v>40207.875</v>
      </c>
      <c r="B222" s="9">
        <f t="shared" si="17"/>
        <v>0</v>
      </c>
      <c r="C222" s="9">
        <f t="shared" si="16"/>
        <v>0</v>
      </c>
      <c r="D222" s="9">
        <f>160000/100000</f>
        <v>1.6</v>
      </c>
      <c r="E222" s="9">
        <f>250000/100000</f>
        <v>2.5</v>
      </c>
      <c r="F222" s="9">
        <f>2419000/100000</f>
        <v>24.19</v>
      </c>
      <c r="G222" s="9">
        <f>2406000/100000</f>
        <v>24.06</v>
      </c>
      <c r="H222" s="9">
        <f>2493000/100000</f>
        <v>24.93</v>
      </c>
      <c r="I222" s="9">
        <f>9000000/100000</f>
        <v>90</v>
      </c>
      <c r="J222" s="9">
        <f>2230000/100000</f>
        <v>22.3</v>
      </c>
      <c r="K222" s="9">
        <f>2220000/100000</f>
        <v>22.2</v>
      </c>
    </row>
    <row r="223" spans="1:11" ht="15">
      <c r="A223" s="6">
        <v>40207.916666666664</v>
      </c>
      <c r="B223" s="9">
        <f t="shared" si="17"/>
        <v>0</v>
      </c>
      <c r="C223" s="9">
        <f t="shared" si="16"/>
        <v>0</v>
      </c>
      <c r="D223" s="9">
        <f>85000/100000</f>
        <v>0.85</v>
      </c>
      <c r="E223" s="9">
        <f>170000/100000</f>
        <v>1.7</v>
      </c>
      <c r="F223" s="9">
        <f>2382000/100000</f>
        <v>23.82</v>
      </c>
      <c r="G223" s="9">
        <f>2349000/100000</f>
        <v>23.49</v>
      </c>
      <c r="H223" s="9">
        <f>2399000/100000</f>
        <v>23.99</v>
      </c>
      <c r="I223" s="9">
        <f>9100000/100000</f>
        <v>91</v>
      </c>
      <c r="J223" s="9">
        <f>2200000/100000</f>
        <v>22</v>
      </c>
      <c r="K223" s="9">
        <f>2180000/100000</f>
        <v>21.8</v>
      </c>
    </row>
    <row r="224" spans="1:11" ht="15">
      <c r="A224" s="6">
        <v>40207.958333333336</v>
      </c>
      <c r="B224" s="9">
        <f t="shared" si="17"/>
        <v>0</v>
      </c>
      <c r="C224" s="9">
        <f t="shared" si="16"/>
        <v>0</v>
      </c>
      <c r="D224" s="9">
        <f>5000/100000</f>
        <v>0.05</v>
      </c>
      <c r="E224" s="9">
        <f>40000/100000</f>
        <v>0.4</v>
      </c>
      <c r="F224" s="9">
        <f>2336000/100000</f>
        <v>23.36</v>
      </c>
      <c r="G224" s="9">
        <f>2308000/100000</f>
        <v>23.08</v>
      </c>
      <c r="H224" s="9">
        <f>2355000/100000</f>
        <v>23.55</v>
      </c>
      <c r="I224" s="9">
        <f>9000000/100000</f>
        <v>90</v>
      </c>
      <c r="J224" s="9">
        <f>2155000/100000</f>
        <v>21.55</v>
      </c>
      <c r="K224" s="9">
        <f>2130000/100000</f>
        <v>21.3</v>
      </c>
    </row>
    <row r="225" spans="1:11" ht="15">
      <c r="A225" s="6">
        <v>40208</v>
      </c>
      <c r="B225" s="9">
        <f t="shared" si="17"/>
        <v>0</v>
      </c>
      <c r="C225" s="9">
        <f t="shared" si="16"/>
        <v>0</v>
      </c>
      <c r="D225" s="9">
        <f>10000/100000</f>
        <v>0.1</v>
      </c>
      <c r="E225" s="9">
        <f>40000/100000</f>
        <v>0.4</v>
      </c>
      <c r="F225" s="9">
        <f>2300000/100000</f>
        <v>23</v>
      </c>
      <c r="G225" s="9">
        <f>2275000/100000</f>
        <v>22.75</v>
      </c>
      <c r="H225" s="9">
        <f>2331000/100000</f>
        <v>23.31</v>
      </c>
      <c r="I225" s="9">
        <f>9000000/100000</f>
        <v>90</v>
      </c>
      <c r="J225" s="9">
        <f>2120000/100000</f>
        <v>21.2</v>
      </c>
      <c r="K225" s="9">
        <f>2110000/100000</f>
        <v>21.1</v>
      </c>
    </row>
    <row r="226" spans="1:11" ht="15">
      <c r="A226" s="6">
        <v>40208.041666666664</v>
      </c>
      <c r="B226" s="9">
        <f t="shared" si="17"/>
        <v>0</v>
      </c>
      <c r="C226" s="9">
        <f t="shared" si="16"/>
        <v>0</v>
      </c>
      <c r="D226" s="9">
        <f>0/100000</f>
        <v>0</v>
      </c>
      <c r="E226" s="9">
        <f>0/100000</f>
        <v>0</v>
      </c>
      <c r="F226" s="9">
        <f>2314000/100000</f>
        <v>23.14</v>
      </c>
      <c r="G226" s="9">
        <f>2301000/100000</f>
        <v>23.01</v>
      </c>
      <c r="H226" s="9">
        <f>2329000/100000</f>
        <v>23.29</v>
      </c>
      <c r="I226" s="9">
        <f>8900000/100000</f>
        <v>89</v>
      </c>
      <c r="J226" s="9">
        <f>2100000/100000</f>
        <v>21</v>
      </c>
      <c r="K226" s="9">
        <f>2090000/100000</f>
        <v>20.9</v>
      </c>
    </row>
    <row r="227" spans="1:11" ht="15">
      <c r="A227" s="6">
        <v>40208.083333333336</v>
      </c>
      <c r="B227" s="9">
        <f t="shared" si="17"/>
        <v>0</v>
      </c>
      <c r="C227" s="9">
        <f t="shared" si="16"/>
        <v>0</v>
      </c>
      <c r="D227" s="9">
        <f>5000/100000</f>
        <v>0.05</v>
      </c>
      <c r="E227" s="9">
        <f>30000/100000</f>
        <v>0.3</v>
      </c>
      <c r="F227" s="9">
        <f>2282000/100000</f>
        <v>22.82</v>
      </c>
      <c r="G227" s="9">
        <f>2272000/100000</f>
        <v>22.72</v>
      </c>
      <c r="H227" s="9">
        <f>2298000/100000</f>
        <v>22.98</v>
      </c>
      <c r="I227" s="9">
        <f>9100000/100000</f>
        <v>91</v>
      </c>
      <c r="J227" s="9">
        <f>2105000/100000</f>
        <v>21.05</v>
      </c>
      <c r="K227" s="9">
        <f>2100000/100000</f>
        <v>21</v>
      </c>
    </row>
    <row r="228" spans="1:11" ht="15">
      <c r="A228" s="6">
        <v>40208.125</v>
      </c>
      <c r="B228" s="9">
        <f t="shared" si="17"/>
        <v>0</v>
      </c>
      <c r="C228" s="9">
        <f t="shared" si="16"/>
        <v>0</v>
      </c>
      <c r="D228" s="9">
        <f>5000/100000</f>
        <v>0.05</v>
      </c>
      <c r="E228" s="9">
        <f>40000/100000</f>
        <v>0.4</v>
      </c>
      <c r="F228" s="9">
        <f>2247000/100000</f>
        <v>22.47</v>
      </c>
      <c r="G228" s="9">
        <f>2230000/100000</f>
        <v>22.3</v>
      </c>
      <c r="H228" s="9">
        <f>2269000/100000</f>
        <v>22.69</v>
      </c>
      <c r="I228" s="9">
        <f>9200000/100000</f>
        <v>92</v>
      </c>
      <c r="J228" s="9">
        <f>2090000/100000</f>
        <v>20.9</v>
      </c>
      <c r="K228" s="9">
        <f>2080000/100000</f>
        <v>20.8</v>
      </c>
    </row>
    <row r="229" spans="1:11" ht="15">
      <c r="A229" s="6">
        <v>40208.166666666664</v>
      </c>
      <c r="B229" s="9">
        <f t="shared" si="17"/>
        <v>0</v>
      </c>
      <c r="C229" s="9">
        <f t="shared" si="16"/>
        <v>0</v>
      </c>
      <c r="D229" s="9">
        <f>25000/100000</f>
        <v>0.25</v>
      </c>
      <c r="E229" s="9">
        <f>80000/100000</f>
        <v>0.8</v>
      </c>
      <c r="F229" s="9">
        <f>2206000/100000</f>
        <v>22.06</v>
      </c>
      <c r="G229" s="9">
        <f>2186000/100000</f>
        <v>21.86</v>
      </c>
      <c r="H229" s="9">
        <f>2224000/100000</f>
        <v>22.24</v>
      </c>
      <c r="I229" s="9">
        <f>9300000/100000</f>
        <v>93</v>
      </c>
      <c r="J229" s="9">
        <f>2070000/100000</f>
        <v>20.7</v>
      </c>
      <c r="K229" s="9">
        <f>2060000/100000</f>
        <v>20.6</v>
      </c>
    </row>
    <row r="230" spans="1:11" ht="15">
      <c r="A230" s="6">
        <v>40208.208333333336</v>
      </c>
      <c r="B230" s="9">
        <f t="shared" si="17"/>
        <v>0</v>
      </c>
      <c r="C230" s="9">
        <f t="shared" si="16"/>
        <v>0</v>
      </c>
      <c r="D230" s="9">
        <f>15000/100000</f>
        <v>0.15</v>
      </c>
      <c r="E230" s="9">
        <f>80000/100000</f>
        <v>0.8</v>
      </c>
      <c r="F230" s="9">
        <f>2191000/100000</f>
        <v>21.91</v>
      </c>
      <c r="G230" s="9">
        <f>2182000/100000</f>
        <v>21.82</v>
      </c>
      <c r="H230" s="9">
        <f>2203000/100000</f>
        <v>22.03</v>
      </c>
      <c r="I230" s="9">
        <f>9400000/100000</f>
        <v>94</v>
      </c>
      <c r="J230" s="9">
        <f>2080000/100000</f>
        <v>20.8</v>
      </c>
      <c r="K230" s="9">
        <f>2080000/100000</f>
        <v>20.8</v>
      </c>
    </row>
    <row r="231" spans="1:11" ht="15">
      <c r="A231" s="6">
        <v>40208.25</v>
      </c>
      <c r="B231" s="9">
        <f>400000/100000</f>
        <v>4</v>
      </c>
      <c r="C231" s="9">
        <f t="shared" si="16"/>
        <v>0</v>
      </c>
      <c r="D231" s="9">
        <f>65000/100000</f>
        <v>0.65</v>
      </c>
      <c r="E231" s="9">
        <f>160000/100000</f>
        <v>1.6</v>
      </c>
      <c r="F231" s="9">
        <f>2188000/100000</f>
        <v>21.88</v>
      </c>
      <c r="G231" s="9">
        <f>2175000/100000</f>
        <v>21.75</v>
      </c>
      <c r="H231" s="9">
        <f>2203000/100000</f>
        <v>22.03</v>
      </c>
      <c r="I231" s="9">
        <f>9500000/100000</f>
        <v>95</v>
      </c>
      <c r="J231" s="9">
        <f>2095000/100000</f>
        <v>20.95</v>
      </c>
      <c r="K231" s="9">
        <f>2070000/100000</f>
        <v>20.7</v>
      </c>
    </row>
    <row r="232" spans="1:11" ht="15">
      <c r="A232" s="6">
        <v>40208.291666666664</v>
      </c>
      <c r="B232" s="9">
        <f>6600000/100000</f>
        <v>66</v>
      </c>
      <c r="C232" s="9">
        <f>20000/100000</f>
        <v>0.2</v>
      </c>
      <c r="D232" s="9">
        <f>85000/100000</f>
        <v>0.85</v>
      </c>
      <c r="E232" s="9">
        <f>200000/100000</f>
        <v>2</v>
      </c>
      <c r="F232" s="9">
        <f>2316000/100000</f>
        <v>23.16</v>
      </c>
      <c r="G232" s="9">
        <f>2226000/100000</f>
        <v>22.26</v>
      </c>
      <c r="H232" s="9">
        <f>2433000/100000</f>
        <v>24.33</v>
      </c>
      <c r="I232" s="9">
        <f>9400000/100000</f>
        <v>94</v>
      </c>
      <c r="J232" s="9">
        <f>2190000/100000</f>
        <v>21.9</v>
      </c>
      <c r="K232" s="9">
        <f>2140000/100000</f>
        <v>21.4</v>
      </c>
    </row>
    <row r="233" spans="1:11" ht="15">
      <c r="A233" s="6">
        <v>40208.333333333336</v>
      </c>
      <c r="B233" s="9">
        <f>6600000/100000</f>
        <v>66</v>
      </c>
      <c r="C233" s="9">
        <f aca="true" t="shared" si="18" ref="C233:C264">0/100000</f>
        <v>0</v>
      </c>
      <c r="D233" s="9">
        <f>225000/100000</f>
        <v>2.25</v>
      </c>
      <c r="E233" s="9">
        <f>350000/100000</f>
        <v>3.5</v>
      </c>
      <c r="F233" s="9">
        <f>2550000/100000</f>
        <v>25.5</v>
      </c>
      <c r="G233" s="9">
        <f>2487000/100000</f>
        <v>24.87</v>
      </c>
      <c r="H233" s="9">
        <f>2626000/100000</f>
        <v>26.26</v>
      </c>
      <c r="I233" s="9">
        <f>8100000/100000</f>
        <v>81</v>
      </c>
      <c r="J233" s="9">
        <f>2185000/100000</f>
        <v>21.85</v>
      </c>
      <c r="K233" s="9">
        <f>2120000/100000</f>
        <v>21.2</v>
      </c>
    </row>
    <row r="234" spans="1:11" ht="15">
      <c r="A234" s="6">
        <v>40208.375</v>
      </c>
      <c r="B234" s="9">
        <f>18000000/100000</f>
        <v>180</v>
      </c>
      <c r="C234" s="9">
        <f t="shared" si="18"/>
        <v>0</v>
      </c>
      <c r="D234" s="9">
        <f>275000/100000</f>
        <v>2.75</v>
      </c>
      <c r="E234" s="9">
        <f>440000/100000</f>
        <v>4.4</v>
      </c>
      <c r="F234" s="9">
        <f>2806000/100000</f>
        <v>28.06</v>
      </c>
      <c r="G234" s="9">
        <f>2657000/100000</f>
        <v>26.57</v>
      </c>
      <c r="H234" s="9">
        <f>2907000/100000</f>
        <v>29.07</v>
      </c>
      <c r="I234" s="9">
        <f>6500000/100000</f>
        <v>65</v>
      </c>
      <c r="J234" s="9">
        <f>2060000/100000</f>
        <v>20.6</v>
      </c>
      <c r="K234" s="9">
        <f>1990000/100000</f>
        <v>19.9</v>
      </c>
    </row>
    <row r="235" spans="1:11" ht="15">
      <c r="A235" s="6">
        <v>40208.416666666664</v>
      </c>
      <c r="B235" s="9">
        <f>29000000/100000</f>
        <v>290</v>
      </c>
      <c r="C235" s="9">
        <f t="shared" si="18"/>
        <v>0</v>
      </c>
      <c r="D235" s="9">
        <f>355000/100000</f>
        <v>3.55</v>
      </c>
      <c r="E235" s="9">
        <f>430000/100000</f>
        <v>4.3</v>
      </c>
      <c r="F235" s="9">
        <f>2945000/100000</f>
        <v>29.45</v>
      </c>
      <c r="G235" s="9">
        <f>2848000/100000</f>
        <v>28.48</v>
      </c>
      <c r="H235" s="9">
        <f>3035000/100000</f>
        <v>30.35</v>
      </c>
      <c r="I235" s="9">
        <f>5800000/100000</f>
        <v>58</v>
      </c>
      <c r="J235" s="9">
        <f>2000000/100000</f>
        <v>20</v>
      </c>
      <c r="K235" s="9">
        <f>1960000/100000</f>
        <v>19.6</v>
      </c>
    </row>
    <row r="236" spans="1:11" ht="15">
      <c r="A236" s="6">
        <v>40208.458333333336</v>
      </c>
      <c r="B236" s="9">
        <f>37400000/100000</f>
        <v>374</v>
      </c>
      <c r="C236" s="9">
        <f t="shared" si="18"/>
        <v>0</v>
      </c>
      <c r="D236" s="9">
        <f>390000/100000</f>
        <v>3.9</v>
      </c>
      <c r="E236" s="9">
        <f>500000/100000</f>
        <v>5</v>
      </c>
      <c r="F236" s="9">
        <f>3076000/100000</f>
        <v>30.76</v>
      </c>
      <c r="G236" s="9">
        <f>2954000/100000</f>
        <v>29.54</v>
      </c>
      <c r="H236" s="9">
        <f>3174000/100000</f>
        <v>31.74</v>
      </c>
      <c r="I236" s="9">
        <f>4900000/100000</f>
        <v>49</v>
      </c>
      <c r="J236" s="9">
        <f>1855000/100000</f>
        <v>18.55</v>
      </c>
      <c r="K236" s="9">
        <f>1760000/100000</f>
        <v>17.6</v>
      </c>
    </row>
    <row r="237" spans="1:11" ht="15">
      <c r="A237" s="6">
        <v>40208.5</v>
      </c>
      <c r="B237" s="9">
        <f>32800000/100000</f>
        <v>328</v>
      </c>
      <c r="C237" s="9">
        <f t="shared" si="18"/>
        <v>0</v>
      </c>
      <c r="D237" s="9">
        <f>385000/100000</f>
        <v>3.85</v>
      </c>
      <c r="E237" s="9">
        <f>460000/100000</f>
        <v>4.6</v>
      </c>
      <c r="F237" s="9">
        <f>3102000/100000</f>
        <v>31.02</v>
      </c>
      <c r="G237" s="9">
        <f>3041000/100000</f>
        <v>30.41</v>
      </c>
      <c r="H237" s="9">
        <f>3170000/100000</f>
        <v>31.7</v>
      </c>
      <c r="I237" s="9">
        <f>4900000/100000</f>
        <v>49</v>
      </c>
      <c r="J237" s="9">
        <f>1890000/100000</f>
        <v>18.9</v>
      </c>
      <c r="K237" s="9">
        <f>1790000/100000</f>
        <v>17.9</v>
      </c>
    </row>
    <row r="238" spans="1:11" ht="15">
      <c r="A238" s="6">
        <v>40208.541666666664</v>
      </c>
      <c r="B238" s="9">
        <f>35600000/100000</f>
        <v>356</v>
      </c>
      <c r="C238" s="9">
        <f t="shared" si="18"/>
        <v>0</v>
      </c>
      <c r="D238" s="9">
        <f>400000/100000</f>
        <v>4</v>
      </c>
      <c r="E238" s="9">
        <f>480000/100000</f>
        <v>4.8</v>
      </c>
      <c r="F238" s="9">
        <f>3134000/100000</f>
        <v>31.34</v>
      </c>
      <c r="G238" s="9">
        <f>3057000/100000</f>
        <v>30.57</v>
      </c>
      <c r="H238" s="9">
        <f>3187000/100000</f>
        <v>31.87</v>
      </c>
      <c r="I238" s="9">
        <f>4800000/100000</f>
        <v>48</v>
      </c>
      <c r="J238" s="9">
        <f>1860000/100000</f>
        <v>18.6</v>
      </c>
      <c r="K238" s="9">
        <f>1710000/100000</f>
        <v>17.1</v>
      </c>
    </row>
    <row r="239" spans="1:11" ht="15">
      <c r="A239" s="6">
        <v>40208.583333333336</v>
      </c>
      <c r="B239" s="9">
        <f>26000000/100000</f>
        <v>260</v>
      </c>
      <c r="C239" s="9">
        <f t="shared" si="18"/>
        <v>0</v>
      </c>
      <c r="D239" s="9">
        <f>460000/100000</f>
        <v>4.6</v>
      </c>
      <c r="E239" s="9">
        <f>560000/100000</f>
        <v>5.6</v>
      </c>
      <c r="F239" s="9">
        <f>3127000/100000</f>
        <v>31.27</v>
      </c>
      <c r="G239" s="9">
        <f>3037000/100000</f>
        <v>30.37</v>
      </c>
      <c r="H239" s="9">
        <f>3227000/100000</f>
        <v>32.27</v>
      </c>
      <c r="I239" s="9">
        <f>4700000/100000</f>
        <v>47</v>
      </c>
      <c r="J239" s="9">
        <f>1825000/100000</f>
        <v>18.25</v>
      </c>
      <c r="K239" s="9">
        <f>1570000/100000</f>
        <v>15.7</v>
      </c>
    </row>
    <row r="240" spans="1:11" ht="15">
      <c r="A240" s="6">
        <v>40208.625</v>
      </c>
      <c r="B240" s="9">
        <f>24300000/100000</f>
        <v>243</v>
      </c>
      <c r="C240" s="9">
        <f t="shared" si="18"/>
        <v>0</v>
      </c>
      <c r="D240" s="9">
        <f>470000/100000</f>
        <v>4.7</v>
      </c>
      <c r="E240" s="9">
        <f>560000/100000</f>
        <v>5.6</v>
      </c>
      <c r="F240" s="9">
        <f>3082000/100000</f>
        <v>30.82</v>
      </c>
      <c r="G240" s="9">
        <f>2982000/100000</f>
        <v>29.82</v>
      </c>
      <c r="H240" s="9">
        <f>3184000/100000</f>
        <v>31.84</v>
      </c>
      <c r="I240" s="9">
        <f>4900000/100000</f>
        <v>49</v>
      </c>
      <c r="J240" s="9">
        <f>1870000/100000</f>
        <v>18.7</v>
      </c>
      <c r="K240" s="9">
        <f>1820000/100000</f>
        <v>18.2</v>
      </c>
    </row>
    <row r="241" spans="1:11" ht="15">
      <c r="A241" s="6">
        <v>40208.666666666664</v>
      </c>
      <c r="B241" s="9">
        <f>15700000/100000</f>
        <v>157</v>
      </c>
      <c r="C241" s="9">
        <f t="shared" si="18"/>
        <v>0</v>
      </c>
      <c r="D241" s="9">
        <f>425000/100000</f>
        <v>4.25</v>
      </c>
      <c r="E241" s="9">
        <f>520000/100000</f>
        <v>5.2</v>
      </c>
      <c r="F241" s="9">
        <f>3007000/100000</f>
        <v>30.07</v>
      </c>
      <c r="G241" s="9">
        <f>2957000/100000</f>
        <v>29.57</v>
      </c>
      <c r="H241" s="9">
        <f>3066000/100000</f>
        <v>30.66</v>
      </c>
      <c r="I241" s="9">
        <f>5400000/100000</f>
        <v>54</v>
      </c>
      <c r="J241" s="9">
        <f>1950000/100000</f>
        <v>19.5</v>
      </c>
      <c r="K241" s="9">
        <f>1870000/100000</f>
        <v>18.7</v>
      </c>
    </row>
    <row r="242" spans="1:11" ht="15">
      <c r="A242" s="6">
        <v>40208.708333333336</v>
      </c>
      <c r="B242" s="9">
        <f>6400000/100000</f>
        <v>64</v>
      </c>
      <c r="C242" s="9">
        <f t="shared" si="18"/>
        <v>0</v>
      </c>
      <c r="D242" s="9">
        <f>395000/100000</f>
        <v>3.95</v>
      </c>
      <c r="E242" s="9">
        <f>440000/100000</f>
        <v>4.4</v>
      </c>
      <c r="F242" s="9">
        <f>2884000/100000</f>
        <v>28.84</v>
      </c>
      <c r="G242" s="9">
        <f>2769000/100000</f>
        <v>27.69</v>
      </c>
      <c r="H242" s="9">
        <f>2962000/100000</f>
        <v>29.62</v>
      </c>
      <c r="I242" s="9">
        <f>5700000/100000</f>
        <v>57</v>
      </c>
      <c r="J242" s="9">
        <f>1930000/100000</f>
        <v>19.3</v>
      </c>
      <c r="K242" s="9">
        <f>1860000/100000</f>
        <v>18.6</v>
      </c>
    </row>
    <row r="243" spans="1:11" ht="15">
      <c r="A243" s="6">
        <v>40208.75</v>
      </c>
      <c r="B243" s="9">
        <f>1200000/100000</f>
        <v>12</v>
      </c>
      <c r="C243" s="9">
        <f t="shared" si="18"/>
        <v>0</v>
      </c>
      <c r="D243" s="9">
        <f>400000/100000</f>
        <v>4</v>
      </c>
      <c r="E243" s="9">
        <f>490000/100000</f>
        <v>4.9</v>
      </c>
      <c r="F243" s="9">
        <f>2707000/100000</f>
        <v>27.07</v>
      </c>
      <c r="G243" s="9">
        <f>2623000/100000</f>
        <v>26.23</v>
      </c>
      <c r="H243" s="9">
        <f>2782000/100000</f>
        <v>27.82</v>
      </c>
      <c r="I243" s="9">
        <f>6600000/100000</f>
        <v>66</v>
      </c>
      <c r="J243" s="9">
        <f>1990000/100000</f>
        <v>19.9</v>
      </c>
      <c r="K243" s="9">
        <f>1960000/100000</f>
        <v>19.6</v>
      </c>
    </row>
    <row r="244" spans="1:11" ht="15">
      <c r="A244" s="6">
        <v>40208.791666666664</v>
      </c>
      <c r="B244" s="9">
        <f aca="true" t="shared" si="19" ref="B244:B254">0/100000</f>
        <v>0</v>
      </c>
      <c r="C244" s="9">
        <f t="shared" si="18"/>
        <v>0</v>
      </c>
      <c r="D244" s="9">
        <f>275000/100000</f>
        <v>2.75</v>
      </c>
      <c r="E244" s="9">
        <f>340000/100000</f>
        <v>3.4</v>
      </c>
      <c r="F244" s="9">
        <f>2566000/100000</f>
        <v>25.66</v>
      </c>
      <c r="G244" s="9">
        <f>2525000/100000</f>
        <v>25.25</v>
      </c>
      <c r="H244" s="9">
        <f>2614000/100000</f>
        <v>26.14</v>
      </c>
      <c r="I244" s="9">
        <f>7500000/100000</f>
        <v>75</v>
      </c>
      <c r="J244" s="9">
        <f>2075000/100000</f>
        <v>20.75</v>
      </c>
      <c r="K244" s="9">
        <f>2060000/100000</f>
        <v>20.6</v>
      </c>
    </row>
    <row r="245" spans="1:11" ht="15">
      <c r="A245" s="6">
        <v>40208.833333333336</v>
      </c>
      <c r="B245" s="9">
        <f t="shared" si="19"/>
        <v>0</v>
      </c>
      <c r="C245" s="9">
        <f t="shared" si="18"/>
        <v>0</v>
      </c>
      <c r="D245" s="9">
        <f>170000/100000</f>
        <v>1.7</v>
      </c>
      <c r="E245" s="9">
        <f>210000/100000</f>
        <v>2.1</v>
      </c>
      <c r="F245" s="9">
        <f>2489000/100000</f>
        <v>24.89</v>
      </c>
      <c r="G245" s="9">
        <f>2457000/100000</f>
        <v>24.57</v>
      </c>
      <c r="H245" s="9">
        <f>2518000/100000</f>
        <v>25.18</v>
      </c>
      <c r="I245" s="9">
        <f>8000000/100000</f>
        <v>80</v>
      </c>
      <c r="J245" s="9">
        <f>2105000/100000</f>
        <v>21.05</v>
      </c>
      <c r="K245" s="9">
        <f>2080000/100000</f>
        <v>20.8</v>
      </c>
    </row>
    <row r="246" spans="1:11" ht="15">
      <c r="A246" s="6">
        <v>40208.875</v>
      </c>
      <c r="B246" s="9">
        <f t="shared" si="19"/>
        <v>0</v>
      </c>
      <c r="C246" s="9">
        <f t="shared" si="18"/>
        <v>0</v>
      </c>
      <c r="D246" s="9">
        <f>80000/100000</f>
        <v>0.8</v>
      </c>
      <c r="E246" s="9">
        <f>110000/100000</f>
        <v>1.1</v>
      </c>
      <c r="F246" s="9">
        <f>2424000/100000</f>
        <v>24.24</v>
      </c>
      <c r="G246" s="9">
        <f>2409000/100000</f>
        <v>24.09</v>
      </c>
      <c r="H246" s="9">
        <f>2455000/100000</f>
        <v>24.55</v>
      </c>
      <c r="I246" s="9">
        <f>8400000/100000</f>
        <v>84</v>
      </c>
      <c r="J246" s="9">
        <f>2110000/100000</f>
        <v>21.1</v>
      </c>
      <c r="K246" s="9">
        <f>2100000/100000</f>
        <v>21</v>
      </c>
    </row>
    <row r="247" spans="1:11" ht="15">
      <c r="A247" s="6">
        <v>40208.916666666664</v>
      </c>
      <c r="B247" s="9">
        <f t="shared" si="19"/>
        <v>0</v>
      </c>
      <c r="C247" s="9">
        <f t="shared" si="18"/>
        <v>0</v>
      </c>
      <c r="D247" s="9">
        <f>45000/100000</f>
        <v>0.45</v>
      </c>
      <c r="E247" s="9">
        <f>170000/100000</f>
        <v>1.7</v>
      </c>
      <c r="F247" s="9">
        <f>2400000/100000</f>
        <v>24</v>
      </c>
      <c r="G247" s="9">
        <f>2394000/100000</f>
        <v>23.94</v>
      </c>
      <c r="H247" s="9">
        <f>2409000/100000</f>
        <v>24.09</v>
      </c>
      <c r="I247" s="9">
        <f>8600000/100000</f>
        <v>86</v>
      </c>
      <c r="J247" s="9">
        <f>2125000/100000</f>
        <v>21.25</v>
      </c>
      <c r="K247" s="9">
        <f>2120000/100000</f>
        <v>21.2</v>
      </c>
    </row>
    <row r="248" spans="1:11" ht="15">
      <c r="A248" s="6">
        <v>40208.958333333336</v>
      </c>
      <c r="B248" s="9">
        <f t="shared" si="19"/>
        <v>0</v>
      </c>
      <c r="C248" s="9">
        <f t="shared" si="18"/>
        <v>0</v>
      </c>
      <c r="D248" s="9">
        <f>155000/100000</f>
        <v>1.55</v>
      </c>
      <c r="E248" s="9">
        <f>180000/100000</f>
        <v>1.8</v>
      </c>
      <c r="F248" s="9">
        <f>2375000/100000</f>
        <v>23.75</v>
      </c>
      <c r="G248" s="9">
        <f>2356000/100000</f>
        <v>23.56</v>
      </c>
      <c r="H248" s="9">
        <f>2402000/100000</f>
        <v>24.02</v>
      </c>
      <c r="I248" s="9">
        <f>8600000/100000</f>
        <v>86</v>
      </c>
      <c r="J248" s="9">
        <f>2110000/100000</f>
        <v>21.1</v>
      </c>
      <c r="K248" s="9">
        <f>2100000/100000</f>
        <v>21</v>
      </c>
    </row>
    <row r="249" spans="1:11" ht="15">
      <c r="A249" s="6">
        <v>40209</v>
      </c>
      <c r="B249" s="9">
        <f t="shared" si="19"/>
        <v>0</v>
      </c>
      <c r="C249" s="9">
        <f t="shared" si="18"/>
        <v>0</v>
      </c>
      <c r="D249" s="9">
        <f>40000/100000</f>
        <v>0.4</v>
      </c>
      <c r="E249" s="9">
        <f>130000/100000</f>
        <v>1.3</v>
      </c>
      <c r="F249" s="9">
        <f>2342000/100000</f>
        <v>23.42</v>
      </c>
      <c r="G249" s="9">
        <f>2315000/100000</f>
        <v>23.15</v>
      </c>
      <c r="H249" s="9">
        <f>2381000/100000</f>
        <v>23.81</v>
      </c>
      <c r="I249" s="9">
        <f>8700000/100000</f>
        <v>87</v>
      </c>
      <c r="J249" s="9">
        <f>2090000/100000</f>
        <v>20.9</v>
      </c>
      <c r="K249" s="9">
        <f>2080000/100000</f>
        <v>20.8</v>
      </c>
    </row>
    <row r="250" spans="1:11" ht="15">
      <c r="A250" s="6">
        <v>40209.041666666664</v>
      </c>
      <c r="B250" s="9">
        <f t="shared" si="19"/>
        <v>0</v>
      </c>
      <c r="C250" s="9">
        <f t="shared" si="18"/>
        <v>0</v>
      </c>
      <c r="D250" s="9">
        <f>55000/100000</f>
        <v>0.55</v>
      </c>
      <c r="E250" s="9">
        <f>110000/100000</f>
        <v>1.1</v>
      </c>
      <c r="F250" s="9">
        <f>2348000/100000</f>
        <v>23.48</v>
      </c>
      <c r="G250" s="9">
        <f>2324000/100000</f>
        <v>23.24</v>
      </c>
      <c r="H250" s="9">
        <f>2381000/100000</f>
        <v>23.81</v>
      </c>
      <c r="I250" s="9">
        <f>8600000/100000</f>
        <v>86</v>
      </c>
      <c r="J250" s="9">
        <f>2075000/100000</f>
        <v>20.75</v>
      </c>
      <c r="K250" s="9">
        <f>2050000/100000</f>
        <v>20.5</v>
      </c>
    </row>
    <row r="251" spans="1:11" ht="15">
      <c r="A251" s="6">
        <v>40209.083333333336</v>
      </c>
      <c r="B251" s="9">
        <f t="shared" si="19"/>
        <v>0</v>
      </c>
      <c r="C251" s="9">
        <f t="shared" si="18"/>
        <v>0</v>
      </c>
      <c r="D251" s="9">
        <f>0/100000</f>
        <v>0</v>
      </c>
      <c r="E251" s="9">
        <f>10000/100000</f>
        <v>0.1</v>
      </c>
      <c r="F251" s="9">
        <f>2296000/100000</f>
        <v>22.96</v>
      </c>
      <c r="G251" s="9">
        <f>2283000/100000</f>
        <v>22.83</v>
      </c>
      <c r="H251" s="9">
        <f>2314000/100000</f>
        <v>23.14</v>
      </c>
      <c r="I251" s="9">
        <f>8800000/100000</f>
        <v>88</v>
      </c>
      <c r="J251" s="9">
        <f>2055000/100000</f>
        <v>20.55</v>
      </c>
      <c r="K251" s="9">
        <f>2050000/100000</f>
        <v>20.5</v>
      </c>
    </row>
    <row r="252" spans="1:11" ht="15">
      <c r="A252" s="6">
        <v>40209.125</v>
      </c>
      <c r="B252" s="9">
        <f t="shared" si="19"/>
        <v>0</v>
      </c>
      <c r="C252" s="9">
        <f t="shared" si="18"/>
        <v>0</v>
      </c>
      <c r="D252" s="9">
        <f>0/100000</f>
        <v>0</v>
      </c>
      <c r="E252" s="9">
        <f>0/100000</f>
        <v>0</v>
      </c>
      <c r="F252" s="9">
        <f>2264000/100000</f>
        <v>22.64</v>
      </c>
      <c r="G252" s="9">
        <f>2245000/100000</f>
        <v>22.45</v>
      </c>
      <c r="H252" s="9">
        <f>2293000/100000</f>
        <v>22.93</v>
      </c>
      <c r="I252" s="9">
        <f>8900000/100000</f>
        <v>89</v>
      </c>
      <c r="J252" s="9">
        <f>2050000/100000</f>
        <v>20.5</v>
      </c>
      <c r="K252" s="9">
        <f>2030000/100000</f>
        <v>20.3</v>
      </c>
    </row>
    <row r="253" spans="1:11" ht="15">
      <c r="A253" s="6">
        <v>40209.166666666664</v>
      </c>
      <c r="B253" s="9">
        <f t="shared" si="19"/>
        <v>0</v>
      </c>
      <c r="C253" s="9">
        <f t="shared" si="18"/>
        <v>0</v>
      </c>
      <c r="D253" s="9">
        <f>5000/100000</f>
        <v>0.05</v>
      </c>
      <c r="E253" s="9">
        <f>50000/100000</f>
        <v>0.5</v>
      </c>
      <c r="F253" s="9">
        <f>2214000/100000</f>
        <v>22.14</v>
      </c>
      <c r="G253" s="9">
        <f>2174000/100000</f>
        <v>21.74</v>
      </c>
      <c r="H253" s="9">
        <f>2267000/100000</f>
        <v>22.67</v>
      </c>
      <c r="I253" s="9">
        <f>9100000/100000</f>
        <v>91</v>
      </c>
      <c r="J253" s="9">
        <f>2045000/100000</f>
        <v>20.45</v>
      </c>
      <c r="K253" s="9">
        <f>2030000/100000</f>
        <v>20.3</v>
      </c>
    </row>
    <row r="254" spans="1:11" ht="15">
      <c r="A254" s="6">
        <v>40209.208333333336</v>
      </c>
      <c r="B254" s="9">
        <f t="shared" si="19"/>
        <v>0</v>
      </c>
      <c r="C254" s="9">
        <f t="shared" si="18"/>
        <v>0</v>
      </c>
      <c r="D254" s="9">
        <f>20000/100000</f>
        <v>0.2</v>
      </c>
      <c r="E254" s="9">
        <f>80000/100000</f>
        <v>0.8</v>
      </c>
      <c r="F254" s="9">
        <f>2187000/100000</f>
        <v>21.87</v>
      </c>
      <c r="G254" s="9">
        <f>2172000/100000</f>
        <v>21.72</v>
      </c>
      <c r="H254" s="9">
        <f>2213000/100000</f>
        <v>22.13</v>
      </c>
      <c r="I254" s="9">
        <f>9300000/100000</f>
        <v>93</v>
      </c>
      <c r="J254" s="9">
        <f>2045000/100000</f>
        <v>20.45</v>
      </c>
      <c r="K254" s="9">
        <f>2030000/100000</f>
        <v>20.3</v>
      </c>
    </row>
    <row r="255" spans="1:11" ht="15">
      <c r="A255" s="6">
        <v>40209.25</v>
      </c>
      <c r="B255" s="9">
        <f>1200000/100000</f>
        <v>12</v>
      </c>
      <c r="C255" s="9">
        <f t="shared" si="18"/>
        <v>0</v>
      </c>
      <c r="D255" s="9">
        <f>15000/100000</f>
        <v>0.15</v>
      </c>
      <c r="E255" s="9">
        <f>100000/100000</f>
        <v>1</v>
      </c>
      <c r="F255" s="9">
        <f>2232000/100000</f>
        <v>22.32</v>
      </c>
      <c r="G255" s="9">
        <f>2200000/100000</f>
        <v>22</v>
      </c>
      <c r="H255" s="9">
        <f>2317000/100000</f>
        <v>23.17</v>
      </c>
      <c r="I255" s="9">
        <f>9500000/100000</f>
        <v>95</v>
      </c>
      <c r="J255" s="9">
        <f>2125000/100000</f>
        <v>21.25</v>
      </c>
      <c r="K255" s="9">
        <f>2100000/100000</f>
        <v>21</v>
      </c>
    </row>
    <row r="256" spans="1:11" ht="15">
      <c r="A256" s="6">
        <v>40209.291666666664</v>
      </c>
      <c r="B256" s="9">
        <f>1000000/100000</f>
        <v>10</v>
      </c>
      <c r="C256" s="9">
        <f t="shared" si="18"/>
        <v>0</v>
      </c>
      <c r="D256" s="9">
        <f>140000/100000</f>
        <v>1.4</v>
      </c>
      <c r="E256" s="9">
        <f>180000/100000</f>
        <v>1.8</v>
      </c>
      <c r="F256" s="9">
        <f>2424000/100000</f>
        <v>24.24</v>
      </c>
      <c r="G256" s="9">
        <f>2315000/100000</f>
        <v>23.15</v>
      </c>
      <c r="H256" s="9">
        <f>2545000/100000</f>
        <v>25.45</v>
      </c>
      <c r="I256" s="9">
        <f>8800000/100000</f>
        <v>88</v>
      </c>
      <c r="J256" s="9">
        <f>2195000/100000</f>
        <v>21.95</v>
      </c>
      <c r="K256" s="9">
        <f>2180000/100000</f>
        <v>21.8</v>
      </c>
    </row>
    <row r="257" spans="1:11" ht="15">
      <c r="A257" s="6">
        <v>40209.333333333336</v>
      </c>
      <c r="B257" s="9">
        <f>7900000/100000</f>
        <v>79</v>
      </c>
      <c r="C257" s="9">
        <f t="shared" si="18"/>
        <v>0</v>
      </c>
      <c r="D257" s="9">
        <f>145000/100000</f>
        <v>1.45</v>
      </c>
      <c r="E257" s="9">
        <f>200000/100000</f>
        <v>2</v>
      </c>
      <c r="F257" s="9">
        <f>2633000/100000</f>
        <v>26.33</v>
      </c>
      <c r="G257" s="9">
        <f>2566000/100000</f>
        <v>25.66</v>
      </c>
      <c r="H257" s="9">
        <f>2713000/100000</f>
        <v>27.13</v>
      </c>
      <c r="I257" s="9">
        <f>7700000/100000</f>
        <v>77</v>
      </c>
      <c r="J257" s="9">
        <f>2170000/100000</f>
        <v>21.7</v>
      </c>
      <c r="K257" s="9">
        <f>2140000/100000</f>
        <v>21.4</v>
      </c>
    </row>
    <row r="258" spans="1:11" ht="15">
      <c r="A258" s="6">
        <v>40209.375</v>
      </c>
      <c r="B258" s="9">
        <f>15800000/100000</f>
        <v>158</v>
      </c>
      <c r="C258" s="9">
        <f t="shared" si="18"/>
        <v>0</v>
      </c>
      <c r="D258" s="9">
        <f>245000/100000</f>
        <v>2.45</v>
      </c>
      <c r="E258" s="9">
        <f>350000/100000</f>
        <v>3.5</v>
      </c>
      <c r="F258" s="9">
        <f>2795000/100000</f>
        <v>27.95</v>
      </c>
      <c r="G258" s="9">
        <f>2664000/100000</f>
        <v>26.64</v>
      </c>
      <c r="H258" s="9">
        <f>2936000/100000</f>
        <v>29.36</v>
      </c>
      <c r="I258" s="9">
        <f>6600000/100000</f>
        <v>66</v>
      </c>
      <c r="J258" s="9">
        <f>2070000/100000</f>
        <v>20.7</v>
      </c>
      <c r="K258" s="9">
        <f>2030000/100000</f>
        <v>20.3</v>
      </c>
    </row>
    <row r="259" spans="1:11" ht="15">
      <c r="A259" s="6">
        <v>40209.416666666664</v>
      </c>
      <c r="B259" s="9">
        <f>31600000/100000</f>
        <v>316</v>
      </c>
      <c r="C259" s="9">
        <f t="shared" si="18"/>
        <v>0</v>
      </c>
      <c r="D259" s="9">
        <f>260000/100000</f>
        <v>2.6</v>
      </c>
      <c r="E259" s="9">
        <f>430000/100000</f>
        <v>4.3</v>
      </c>
      <c r="F259" s="9">
        <f>2973000/100000</f>
        <v>29.73</v>
      </c>
      <c r="G259" s="9">
        <f>2892000/100000</f>
        <v>28.92</v>
      </c>
      <c r="H259" s="9">
        <f>3057000/100000</f>
        <v>30.57</v>
      </c>
      <c r="I259" s="9">
        <f>5600000/100000</f>
        <v>56</v>
      </c>
      <c r="J259" s="9">
        <f>1980000/100000</f>
        <v>19.8</v>
      </c>
      <c r="K259" s="9">
        <f>1890000/100000</f>
        <v>18.9</v>
      </c>
    </row>
    <row r="260" spans="1:11" ht="15">
      <c r="A260" s="6">
        <v>40209.458333333336</v>
      </c>
      <c r="B260" s="9">
        <f>36400000/100000</f>
        <v>364</v>
      </c>
      <c r="C260" s="9">
        <f t="shared" si="18"/>
        <v>0</v>
      </c>
      <c r="D260" s="9">
        <f>325000/100000</f>
        <v>3.25</v>
      </c>
      <c r="E260" s="9">
        <f>400000/100000</f>
        <v>4</v>
      </c>
      <c r="F260" s="9">
        <f>3091000/100000</f>
        <v>30.91</v>
      </c>
      <c r="G260" s="9">
        <f>3016000/100000</f>
        <v>30.16</v>
      </c>
      <c r="H260" s="9">
        <f>3145000/100000</f>
        <v>31.45</v>
      </c>
      <c r="I260" s="9">
        <f>5200000/100000</f>
        <v>52</v>
      </c>
      <c r="J260" s="9">
        <f>1970000/100000</f>
        <v>19.7</v>
      </c>
      <c r="K260" s="9">
        <f>1930000/100000</f>
        <v>19.3</v>
      </c>
    </row>
    <row r="261" spans="1:11" ht="15">
      <c r="A261" s="6">
        <v>40209.5</v>
      </c>
      <c r="B261" s="9">
        <f>35000000/100000</f>
        <v>350</v>
      </c>
      <c r="C261" s="9">
        <f t="shared" si="18"/>
        <v>0</v>
      </c>
      <c r="D261" s="9">
        <f>385000/100000</f>
        <v>3.85</v>
      </c>
      <c r="E261" s="9">
        <f>450000/100000</f>
        <v>4.5</v>
      </c>
      <c r="F261" s="9">
        <f>3138000/100000</f>
        <v>31.38</v>
      </c>
      <c r="G261" s="9">
        <f>3076000/100000</f>
        <v>30.76</v>
      </c>
      <c r="H261" s="9">
        <f>3178000/100000</f>
        <v>31.78</v>
      </c>
      <c r="I261" s="9">
        <f>5100000/100000</f>
        <v>51</v>
      </c>
      <c r="J261" s="9">
        <f>1985000/100000</f>
        <v>19.85</v>
      </c>
      <c r="K261" s="9">
        <f>1930000/100000</f>
        <v>19.3</v>
      </c>
    </row>
    <row r="262" spans="1:11" ht="15">
      <c r="A262" s="6">
        <v>40209.541666666664</v>
      </c>
      <c r="B262" s="9">
        <f>30600000/100000</f>
        <v>306</v>
      </c>
      <c r="C262" s="9">
        <f t="shared" si="18"/>
        <v>0</v>
      </c>
      <c r="D262" s="9">
        <f>445000/100000</f>
        <v>4.45</v>
      </c>
      <c r="E262" s="9">
        <f>540000/100000</f>
        <v>5.4</v>
      </c>
      <c r="F262" s="9">
        <f>3149000/100000</f>
        <v>31.49</v>
      </c>
      <c r="G262" s="9">
        <f>3100000/100000</f>
        <v>31</v>
      </c>
      <c r="H262" s="9">
        <f>3240000/100000</f>
        <v>32.4</v>
      </c>
      <c r="I262" s="9">
        <f>5300000/100000</f>
        <v>53</v>
      </c>
      <c r="J262" s="9">
        <f>2040000/100000</f>
        <v>20.4</v>
      </c>
      <c r="K262" s="9">
        <f>2000000/100000</f>
        <v>20</v>
      </c>
    </row>
    <row r="263" spans="1:11" ht="15">
      <c r="A263" s="6">
        <v>40209.583333333336</v>
      </c>
      <c r="B263" s="9">
        <f>30600000/100000</f>
        <v>306</v>
      </c>
      <c r="C263" s="9">
        <f t="shared" si="18"/>
        <v>0</v>
      </c>
      <c r="D263" s="9">
        <f>480000/100000</f>
        <v>4.8</v>
      </c>
      <c r="E263" s="9">
        <f>590000/100000</f>
        <v>5.9</v>
      </c>
      <c r="F263" s="9">
        <f>3130000/100000</f>
        <v>31.3</v>
      </c>
      <c r="G263" s="9">
        <f>3046000/100000</f>
        <v>30.46</v>
      </c>
      <c r="H263" s="9">
        <f>3196000/100000</f>
        <v>31.96</v>
      </c>
      <c r="I263" s="9">
        <f>5400000/100000</f>
        <v>54</v>
      </c>
      <c r="J263" s="9">
        <f>2060000/100000</f>
        <v>20.6</v>
      </c>
      <c r="K263" s="9">
        <f>2030000/100000</f>
        <v>20.3</v>
      </c>
    </row>
    <row r="264" spans="1:11" ht="15">
      <c r="A264" s="6">
        <v>40209.625</v>
      </c>
      <c r="B264" s="9">
        <f>17200000/100000</f>
        <v>172</v>
      </c>
      <c r="C264" s="9">
        <f t="shared" si="18"/>
        <v>0</v>
      </c>
      <c r="D264" s="9">
        <f>420000/100000</f>
        <v>4.2</v>
      </c>
      <c r="E264" s="9">
        <f>490000/100000</f>
        <v>4.9</v>
      </c>
      <c r="F264" s="9">
        <f>3066000/100000</f>
        <v>30.66</v>
      </c>
      <c r="G264" s="9">
        <f>3026000/100000</f>
        <v>30.26</v>
      </c>
      <c r="H264" s="9">
        <f>3094000/100000</f>
        <v>30.94</v>
      </c>
      <c r="I264" s="9">
        <f>5400000/100000</f>
        <v>54</v>
      </c>
      <c r="J264" s="9">
        <f>2005000/100000</f>
        <v>20.05</v>
      </c>
      <c r="K264" s="9">
        <f>1950000/100000</f>
        <v>19.5</v>
      </c>
    </row>
    <row r="265" spans="1:11" ht="15">
      <c r="A265" s="6">
        <v>40209.666666666664</v>
      </c>
      <c r="B265" s="9">
        <f>12400000/100000</f>
        <v>124</v>
      </c>
      <c r="C265" s="9">
        <f aca="true" t="shared" si="20" ref="C265:C272">0/100000</f>
        <v>0</v>
      </c>
      <c r="D265" s="9">
        <f>475000/100000</f>
        <v>4.75</v>
      </c>
      <c r="E265" s="9">
        <f>590000/100000</f>
        <v>5.9</v>
      </c>
      <c r="F265" s="9">
        <f>2993000/100000</f>
        <v>29.93</v>
      </c>
      <c r="G265" s="9">
        <f>2911000/100000</f>
        <v>29.11</v>
      </c>
      <c r="H265" s="9">
        <f>3066000/100000</f>
        <v>30.66</v>
      </c>
      <c r="I265" s="9">
        <f>5500000/100000</f>
        <v>55</v>
      </c>
      <c r="J265" s="9">
        <f>1980000/100000</f>
        <v>19.8</v>
      </c>
      <c r="K265" s="9">
        <f>1920000/100000</f>
        <v>19.2</v>
      </c>
    </row>
    <row r="266" spans="1:11" ht="15">
      <c r="A266" s="6">
        <v>40209.708333333336</v>
      </c>
      <c r="B266" s="9">
        <f>6400000/100000</f>
        <v>64</v>
      </c>
      <c r="C266" s="9">
        <f t="shared" si="20"/>
        <v>0</v>
      </c>
      <c r="D266" s="9">
        <f>450000/100000</f>
        <v>4.5</v>
      </c>
      <c r="E266" s="9">
        <f>600000/100000</f>
        <v>6</v>
      </c>
      <c r="F266" s="9">
        <f>2857000/100000</f>
        <v>28.57</v>
      </c>
      <c r="G266" s="9">
        <f>2799000/100000</f>
        <v>27.99</v>
      </c>
      <c r="H266" s="9">
        <f>2908000/100000</f>
        <v>29.08</v>
      </c>
      <c r="I266" s="9">
        <f>6400000/100000</f>
        <v>64</v>
      </c>
      <c r="J266" s="9">
        <f>2075000/100000</f>
        <v>20.75</v>
      </c>
      <c r="K266" s="9">
        <f>2030000/100000</f>
        <v>20.3</v>
      </c>
    </row>
    <row r="267" spans="1:11" ht="15">
      <c r="A267" s="6">
        <v>40209.75</v>
      </c>
      <c r="B267" s="9">
        <f>400000/100000</f>
        <v>4</v>
      </c>
      <c r="C267" s="9">
        <f t="shared" si="20"/>
        <v>0</v>
      </c>
      <c r="D267" s="9">
        <f>350000/100000</f>
        <v>3.5</v>
      </c>
      <c r="E267" s="9">
        <f>440000/100000</f>
        <v>4.4</v>
      </c>
      <c r="F267" s="9">
        <f>2711000/100000</f>
        <v>27.11</v>
      </c>
      <c r="G267" s="9">
        <f>2646000/100000</f>
        <v>26.46</v>
      </c>
      <c r="H267" s="9">
        <f>2801000/100000</f>
        <v>28.01</v>
      </c>
      <c r="I267" s="9">
        <f>7100000/100000</f>
        <v>71</v>
      </c>
      <c r="J267" s="9">
        <f>2110000/100000</f>
        <v>21.1</v>
      </c>
      <c r="K267" s="9">
        <f>2080000/100000</f>
        <v>20.8</v>
      </c>
    </row>
    <row r="268" spans="1:11" ht="15">
      <c r="A268" s="6">
        <v>40209.791666666664</v>
      </c>
      <c r="B268" s="9">
        <f>0/100000</f>
        <v>0</v>
      </c>
      <c r="C268" s="9">
        <f t="shared" si="20"/>
        <v>0</v>
      </c>
      <c r="D268" s="9">
        <f>330000/100000</f>
        <v>3.3</v>
      </c>
      <c r="E268" s="9">
        <f>410000/100000</f>
        <v>4.1</v>
      </c>
      <c r="F268" s="9">
        <f>2604000/100000</f>
        <v>26.04</v>
      </c>
      <c r="G268" s="9">
        <f>2578000/100000</f>
        <v>25.78</v>
      </c>
      <c r="H268" s="9">
        <f>2642000/100000</f>
        <v>26.42</v>
      </c>
      <c r="I268" s="9">
        <f>7600000/100000</f>
        <v>76</v>
      </c>
      <c r="J268" s="9">
        <f>2140000/100000</f>
        <v>21.4</v>
      </c>
      <c r="K268" s="9">
        <f>2110000/100000</f>
        <v>21.1</v>
      </c>
    </row>
    <row r="269" spans="1:11" ht="15">
      <c r="A269" s="6">
        <v>40209.833333333336</v>
      </c>
      <c r="B269" s="9">
        <f>0/100000</f>
        <v>0</v>
      </c>
      <c r="C269" s="9">
        <f t="shared" si="20"/>
        <v>0</v>
      </c>
      <c r="D269" s="9">
        <f>265000/100000</f>
        <v>2.65</v>
      </c>
      <c r="E269" s="9">
        <f>310000/100000</f>
        <v>3.1</v>
      </c>
      <c r="F269" s="9">
        <f>2555000/100000</f>
        <v>25.55</v>
      </c>
      <c r="G269" s="9">
        <f>2538000/100000</f>
        <v>25.38</v>
      </c>
      <c r="H269" s="9">
        <f>2578000/100000</f>
        <v>25.78</v>
      </c>
      <c r="I269" s="9">
        <f>8100000/100000</f>
        <v>81</v>
      </c>
      <c r="J269" s="9">
        <f>2190000/100000</f>
        <v>21.9</v>
      </c>
      <c r="K269" s="9">
        <f>2180000/100000</f>
        <v>21.8</v>
      </c>
    </row>
    <row r="270" spans="1:11" ht="15">
      <c r="A270" s="6">
        <v>40209.875</v>
      </c>
      <c r="B270" s="9">
        <f>0/100000</f>
        <v>0</v>
      </c>
      <c r="C270" s="9">
        <f t="shared" si="20"/>
        <v>0</v>
      </c>
      <c r="D270" s="9">
        <f>290000/100000</f>
        <v>2.9</v>
      </c>
      <c r="E270" s="9">
        <f>350000/100000</f>
        <v>3.5</v>
      </c>
      <c r="F270" s="9">
        <f>2518000/100000</f>
        <v>25.18</v>
      </c>
      <c r="G270" s="9">
        <f>2500000/100000</f>
        <v>25</v>
      </c>
      <c r="H270" s="9">
        <f>2538000/100000</f>
        <v>25.38</v>
      </c>
      <c r="I270" s="9">
        <f>8300000/100000</f>
        <v>83</v>
      </c>
      <c r="J270" s="9">
        <f>2185000/100000</f>
        <v>21.85</v>
      </c>
      <c r="K270" s="9">
        <f>2180000/100000</f>
        <v>21.8</v>
      </c>
    </row>
    <row r="271" spans="1:11" ht="15">
      <c r="A271" s="6">
        <v>40209.916666666664</v>
      </c>
      <c r="B271" s="9">
        <f>0/100000</f>
        <v>0</v>
      </c>
      <c r="C271" s="9">
        <f t="shared" si="20"/>
        <v>0</v>
      </c>
      <c r="D271" s="9">
        <f>255000/100000</f>
        <v>2.55</v>
      </c>
      <c r="E271" s="9">
        <f>350000/100000</f>
        <v>3.5</v>
      </c>
      <c r="F271" s="9">
        <f>2491000/100000</f>
        <v>24.91</v>
      </c>
      <c r="G271" s="9">
        <f>2485000/100000</f>
        <v>24.85</v>
      </c>
      <c r="H271" s="9">
        <f>2503000/100000</f>
        <v>25.03</v>
      </c>
      <c r="I271" s="9">
        <f>8500000/100000</f>
        <v>85</v>
      </c>
      <c r="J271" s="9">
        <f>2205000/100000</f>
        <v>22.05</v>
      </c>
      <c r="K271" s="9">
        <f>2190000/100000</f>
        <v>21.9</v>
      </c>
    </row>
    <row r="272" spans="1:11" ht="15">
      <c r="A272" s="6">
        <v>40209.958333333336</v>
      </c>
      <c r="B272" s="9">
        <f>0/100000</f>
        <v>0</v>
      </c>
      <c r="C272" s="9">
        <f t="shared" si="20"/>
        <v>0</v>
      </c>
      <c r="D272" s="9">
        <f>245000/100000</f>
        <v>2.45</v>
      </c>
      <c r="E272" s="9">
        <f>330000/100000</f>
        <v>3.3</v>
      </c>
      <c r="F272" s="9">
        <f>2479000/100000</f>
        <v>24.79</v>
      </c>
      <c r="G272" s="9">
        <f>2468000/100000</f>
        <v>24.68</v>
      </c>
      <c r="H272" s="9">
        <f>2487000/100000</f>
        <v>24.87</v>
      </c>
      <c r="I272" s="9">
        <f>8600000/100000</f>
        <v>86</v>
      </c>
      <c r="J272" s="9">
        <f>2200000/100000</f>
        <v>22</v>
      </c>
      <c r="K272" s="9">
        <f>2190000/100000</f>
        <v>21.9</v>
      </c>
    </row>
    <row r="273" spans="1:11" ht="15">
      <c r="A273" s="7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5">
      <c r="A274" s="7"/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5">
      <c r="A275" s="7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5">
      <c r="A276" s="7"/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5">
      <c r="A277" s="7"/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5">
      <c r="A278" s="7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5">
      <c r="A279" s="7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5">
      <c r="A280" s="7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5">
      <c r="A281" s="7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5">
      <c r="A282" s="7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5">
      <c r="A283" s="7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5">
      <c r="A284" s="7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5">
      <c r="A285" s="7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5">
      <c r="A286" s="7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5">
      <c r="A287" s="7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5">
      <c r="A288" s="7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5">
      <c r="A289" s="7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5">
      <c r="A290" s="7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5">
      <c r="A291" s="7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5">
      <c r="A292" s="7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5">
      <c r="A293" s="7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5">
      <c r="A294" s="7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5">
      <c r="A295" s="7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5">
      <c r="A296" s="7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5">
      <c r="A297" s="7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5">
      <c r="A298" s="7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5">
      <c r="A299" s="7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5">
      <c r="A300" s="7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5">
      <c r="A301" s="7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5">
      <c r="A302" s="7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5">
      <c r="A303" s="7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5">
      <c r="A304" s="7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5">
      <c r="A305" s="7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5">
      <c r="A306" s="7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5">
      <c r="A307" s="7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5">
      <c r="A308" s="7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5">
      <c r="A309" s="7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5">
      <c r="A310" s="7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5">
      <c r="A311" s="7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5">
      <c r="A312" s="7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5">
      <c r="A313" s="7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5">
      <c r="A314" s="7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5">
      <c r="A315" s="7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5">
      <c r="A316" s="7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5">
      <c r="A317" s="7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5">
      <c r="A318" s="7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5">
      <c r="A319" s="7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5">
      <c r="A320" s="7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5">
      <c r="A321" s="7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5">
      <c r="A322" s="7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5">
      <c r="A323" s="7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5">
      <c r="A324" s="7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5">
      <c r="A325" s="7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5">
      <c r="A326" s="7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5">
      <c r="A327" s="7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5">
      <c r="A328" s="7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5">
      <c r="A329" s="7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5">
      <c r="A330" s="7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5">
      <c r="A331" s="7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5">
      <c r="A332" s="7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5">
      <c r="A333" s="7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5">
      <c r="A334" s="7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5">
      <c r="A335" s="7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5">
      <c r="A336" s="7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5">
      <c r="A337" s="7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5">
      <c r="A338" s="7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5">
      <c r="A339" s="7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5">
      <c r="A340" s="7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5">
      <c r="A341" s="7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5">
      <c r="A342" s="7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5">
      <c r="A343" s="7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5">
      <c r="A344" s="7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5">
      <c r="A345" s="7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5">
      <c r="A346" s="7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5">
      <c r="A347" s="7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5">
      <c r="A348" s="7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5">
      <c r="A349" s="7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5">
      <c r="A350" s="7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5">
      <c r="A351" s="7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5">
      <c r="A352" s="7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5">
      <c r="A353" s="7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5">
      <c r="A354" s="7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5">
      <c r="A355" s="7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5">
      <c r="A356" s="7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5">
      <c r="A357" s="7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5">
      <c r="A358" s="7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5">
      <c r="A359" s="7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5">
      <c r="A360" s="7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5">
      <c r="A361" s="7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5">
      <c r="A362" s="7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5">
      <c r="A363" s="7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5">
      <c r="A364" s="7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5">
      <c r="A365" s="7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5">
      <c r="A366" s="7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5">
      <c r="A367" s="7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5">
      <c r="A368" s="7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5">
      <c r="A369" s="7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5">
      <c r="A370" s="7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5">
      <c r="A371" s="7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5">
      <c r="A372" s="7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5">
      <c r="A373" s="7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5">
      <c r="A374" s="7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5">
      <c r="A375" s="7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5">
      <c r="A376" s="7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5">
      <c r="A377" s="7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5">
      <c r="A378" s="7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5">
      <c r="A379" s="7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5">
      <c r="A380" s="7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5">
      <c r="A381" s="7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5">
      <c r="A382" s="7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5">
      <c r="A383" s="7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5">
      <c r="A384" s="7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5">
      <c r="A385" s="7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5">
      <c r="A386" s="7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5">
      <c r="A387" s="7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5">
      <c r="A388" s="7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5">
      <c r="A389" s="7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5">
      <c r="A390" s="7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5">
      <c r="A391" s="7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5">
      <c r="A392" s="7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5">
      <c r="A393" s="7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5">
      <c r="A394" s="7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5">
      <c r="A395" s="7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5">
      <c r="A396" s="7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5">
      <c r="A397" s="7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5">
      <c r="A398" s="7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5">
      <c r="A399" s="7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5">
      <c r="A400" s="7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5">
      <c r="A401" s="7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5">
      <c r="A402" s="7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5">
      <c r="A403" s="7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5">
      <c r="A404" s="7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5">
      <c r="A405" s="7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5">
      <c r="A406" s="7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5">
      <c r="A407" s="7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5">
      <c r="A408" s="7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5">
      <c r="A409" s="7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5">
      <c r="A410" s="7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5">
      <c r="A411" s="7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15">
      <c r="A412" s="7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15">
      <c r="A413" s="7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5">
      <c r="A414" s="7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15">
      <c r="A415" s="7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15">
      <c r="A416" s="7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15">
      <c r="A417" s="7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15">
      <c r="A418" s="7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15">
      <c r="A419" s="7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15">
      <c r="A420" s="7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15">
      <c r="A421" s="7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15">
      <c r="A422" s="7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15">
      <c r="A423" s="7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15">
      <c r="A424" s="7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15">
      <c r="A425" s="7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15">
      <c r="A426" s="7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15">
      <c r="A427" s="7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15">
      <c r="A428" s="7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15">
      <c r="A429" s="7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15">
      <c r="A430" s="7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15">
      <c r="A431" s="7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15">
      <c r="A432" s="7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15">
      <c r="A433" s="7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15">
      <c r="A434" s="7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15">
      <c r="A435" s="7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15">
      <c r="A436" s="7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15">
      <c r="A437" s="7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15">
      <c r="A438" s="7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15">
      <c r="A439" s="7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15">
      <c r="A440" s="7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15">
      <c r="A441" s="7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15">
      <c r="A442" s="7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15">
      <c r="A443" s="7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15">
      <c r="A444" s="7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15">
      <c r="A445" s="7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15">
      <c r="A446" s="7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15">
      <c r="A447" s="7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15">
      <c r="A448" s="7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15">
      <c r="A449" s="7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15">
      <c r="A450" s="7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15">
      <c r="A451" s="7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15">
      <c r="A452" s="7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15">
      <c r="A453" s="7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15">
      <c r="A454" s="7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15">
      <c r="A455" s="7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15">
      <c r="A456" s="7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15">
      <c r="A457" s="7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15">
      <c r="A458" s="7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15">
      <c r="A459" s="7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15">
      <c r="A460" s="7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15">
      <c r="A461" s="7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15">
      <c r="A462" s="7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15">
      <c r="A463" s="7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15">
      <c r="A464" s="7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15">
      <c r="A465" s="7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15">
      <c r="A466" s="7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15">
      <c r="A467" s="7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15">
      <c r="A468" s="7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15">
      <c r="A469" s="7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15">
      <c r="A470" s="7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15">
      <c r="A471" s="7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15">
      <c r="A472" s="7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15">
      <c r="A473" s="7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15">
      <c r="A474" s="7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15">
      <c r="A475" s="7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15">
      <c r="A476" s="7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15">
      <c r="A477" s="7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15">
      <c r="A478" s="7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15">
      <c r="A479" s="7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15">
      <c r="A480" s="7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15">
      <c r="A481" s="7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15">
      <c r="A482" s="7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15">
      <c r="A483" s="7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15">
      <c r="A484" s="7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15">
      <c r="A485" s="7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15">
      <c r="A486" s="7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15">
      <c r="A487" s="7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15">
      <c r="A488" s="7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15">
      <c r="A489" s="7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15">
      <c r="A490" s="7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15">
      <c r="A491" s="7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15">
      <c r="A492" s="7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15">
      <c r="A493" s="7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15">
      <c r="A494" s="7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15">
      <c r="A495" s="7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15">
      <c r="A496" s="7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15">
      <c r="A497" s="7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15">
      <c r="A498" s="7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15">
      <c r="A499" s="7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15">
      <c r="A500" s="7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15">
      <c r="A501" s="7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15">
      <c r="A502" s="7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15">
      <c r="A503" s="7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15">
      <c r="A504" s="7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15">
      <c r="A505" s="7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15">
      <c r="A506" s="7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15">
      <c r="A507" s="7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15">
      <c r="A508" s="7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15">
      <c r="A509" s="7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15">
      <c r="A510" s="7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15">
      <c r="A511" s="7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15">
      <c r="A512" s="7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15">
      <c r="A513" s="7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15">
      <c r="A514" s="7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15">
      <c r="A515" s="7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15">
      <c r="A516" s="7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15">
      <c r="A517" s="7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15">
      <c r="A518" s="7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15">
      <c r="A519" s="7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15">
      <c r="A520" s="7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15">
      <c r="A521" s="7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15">
      <c r="A522" s="7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15">
      <c r="A523" s="7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15">
      <c r="A524" s="7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15">
      <c r="A525" s="7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15">
      <c r="A526" s="7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15">
      <c r="A527" s="7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15">
      <c r="A528" s="7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15">
      <c r="A529" s="7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15">
      <c r="A530" s="7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15">
      <c r="A531" s="7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15">
      <c r="A532" s="7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2011-09-06T11:54:42Z</dcterms:modified>
  <cp:category/>
  <cp:version/>
  <cp:contentType/>
  <cp:contentStatus/>
</cp:coreProperties>
</file>